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Ex1.xml" ContentType="application/vnd.ms-office.chartex+xml"/>
  <Override PartName="/xl/charts/style9.xml" ContentType="application/vnd.ms-office.chartstyle+xml"/>
  <Override PartName="/xl/charts/colors9.xml" ContentType="application/vnd.ms-office.chartcolorstyle+xml"/>
  <Override PartName="/xl/comments2.xml" ContentType="application/vnd.openxmlformats-officedocument.spreadsheetml.comments+xml"/>
  <Override PartName="/xl/threadedComments/threadedComment2.xml" ContentType="application/vnd.ms-excel.threadedcomments+xml"/>
  <Override PartName="/xl/drawings/drawing2.xml" ContentType="application/vnd.openxmlformats-officedocument.drawing+xml"/>
  <Override PartName="/xl/charts/chart9.xml" ContentType="application/vnd.openxmlformats-officedocument.drawingml.chart+xml"/>
  <Override PartName="/xl/charts/style10.xml" ContentType="application/vnd.ms-office.chartstyle+xml"/>
  <Override PartName="/xl/charts/colors10.xml" ContentType="application/vnd.ms-office.chartcolorstyle+xml"/>
  <Override PartName="/xl/charts/chart10.xml" ContentType="application/vnd.openxmlformats-officedocument.drawingml.chart+xml"/>
  <Override PartName="/xl/charts/style11.xml" ContentType="application/vnd.ms-office.chartstyle+xml"/>
  <Override PartName="/xl/charts/colors11.xml" ContentType="application/vnd.ms-office.chartcolorstyle+xml"/>
  <Override PartName="/xl/charts/chart11.xml" ContentType="application/vnd.openxmlformats-officedocument.drawingml.chart+xml"/>
  <Override PartName="/xl/charts/style12.xml" ContentType="application/vnd.ms-office.chartstyle+xml"/>
  <Override PartName="/xl/charts/colors12.xml" ContentType="application/vnd.ms-office.chartcolorstyle+xml"/>
  <Override PartName="/xl/charts/chart12.xml" ContentType="application/vnd.openxmlformats-officedocument.drawingml.chart+xml"/>
  <Override PartName="/xl/charts/style13.xml" ContentType="application/vnd.ms-office.chartstyle+xml"/>
  <Override PartName="/xl/charts/colors13.xml" ContentType="application/vnd.ms-office.chartcolorstyle+xml"/>
  <Override PartName="/xl/charts/chart13.xml" ContentType="application/vnd.openxmlformats-officedocument.drawingml.chart+xml"/>
  <Override PartName="/xl/charts/style14.xml" ContentType="application/vnd.ms-office.chartstyle+xml"/>
  <Override PartName="/xl/charts/colors14.xml" ContentType="application/vnd.ms-office.chartcolorstyle+xml"/>
  <Override PartName="/xl/charts/chart14.xml" ContentType="application/vnd.openxmlformats-officedocument.drawingml.chart+xml"/>
  <Override PartName="/xl/charts/style15.xml" ContentType="application/vnd.ms-office.chartstyle+xml"/>
  <Override PartName="/xl/charts/colors15.xml" ContentType="application/vnd.ms-office.chartcolorstyle+xml"/>
  <Override PartName="/xl/charts/chart15.xml" ContentType="application/vnd.openxmlformats-officedocument.drawingml.chart+xml"/>
  <Override PartName="/xl/charts/style16.xml" ContentType="application/vnd.ms-office.chartstyle+xml"/>
  <Override PartName="/xl/charts/colors16.xml" ContentType="application/vnd.ms-office.chartcolorstyle+xml"/>
  <Override PartName="/xl/charts/chart16.xml" ContentType="application/vnd.openxmlformats-officedocument.drawingml.chart+xml"/>
  <Override PartName="/xl/charts/style17.xml" ContentType="application/vnd.ms-office.chartstyle+xml"/>
  <Override PartName="/xl/charts/colors17.xml" ContentType="application/vnd.ms-office.chartcolorstyle+xml"/>
  <Override PartName="/xl/charts/chartEx2.xml" ContentType="application/vnd.ms-office.chartex+xml"/>
  <Override PartName="/xl/charts/style18.xml" ContentType="application/vnd.ms-office.chartstyle+xml"/>
  <Override PartName="/xl/charts/colors18.xml" ContentType="application/vnd.ms-office.chartcolorstyle+xml"/>
  <Override PartName="/xl/charts/chart17.xml" ContentType="application/vnd.openxmlformats-officedocument.drawingml.chart+xml"/>
  <Override PartName="/xl/charts/style19.xml" ContentType="application/vnd.ms-office.chartstyle+xml"/>
  <Override PartName="/xl/charts/colors19.xml" ContentType="application/vnd.ms-office.chartcolorsty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ajogi\Desktop\"/>
    </mc:Choice>
  </mc:AlternateContent>
  <xr:revisionPtr revIDLastSave="0" documentId="13_ncr:1_{39DC5AAE-5440-4413-A98D-0E1C2649F2E7}" xr6:coauthVersionLast="47" xr6:coauthVersionMax="47" xr10:uidLastSave="{00000000-0000-0000-0000-000000000000}"/>
  <bookViews>
    <workbookView xWindow="-110" yWindow="-110" windowWidth="25820" windowHeight="13900" activeTab="3" xr2:uid="{00000000-000D-0000-FFFF-FFFF00000000}"/>
  </bookViews>
  <sheets>
    <sheet name="Alusharidus" sheetId="1" r:id="rId1"/>
    <sheet name="Lasteaed graafikud" sheetId="17" r:id="rId2"/>
    <sheet name="Kool" sheetId="2" r:id="rId3"/>
    <sheet name="Kool graafikud" sheetId="19" r:id="rId4"/>
  </sheets>
  <externalReferences>
    <externalReference r:id="rId5"/>
  </externalReferences>
  <definedNames>
    <definedName name="_xlchart.v1.0" hidden="1">Alusharidus!$BD$4:$BD$82</definedName>
    <definedName name="_xlchart.v1.1" hidden="1">Kool!$BJ$4:$BJ$82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1" i="1" l="1"/>
  <c r="K61" i="1"/>
  <c r="S61" i="1"/>
  <c r="T61" i="1"/>
  <c r="AS61" i="1"/>
  <c r="AT61" i="1"/>
  <c r="AX61" i="1"/>
  <c r="AY61" i="1"/>
  <c r="BR61" i="1"/>
  <c r="BS61" i="1"/>
  <c r="CG61" i="1"/>
  <c r="CH61" i="1"/>
  <c r="CI61" i="1"/>
  <c r="J47" i="1"/>
  <c r="K47" i="1"/>
  <c r="S47" i="1"/>
  <c r="T47" i="1"/>
  <c r="AI47" i="1"/>
  <c r="AM47" i="1"/>
  <c r="AN47" i="1"/>
  <c r="AQ47" i="1"/>
  <c r="AT47" i="1"/>
  <c r="AX47" i="1"/>
  <c r="AY47" i="1"/>
  <c r="BF47" i="1"/>
  <c r="BL47" i="1"/>
  <c r="BM47" i="1"/>
  <c r="BN47" i="1"/>
  <c r="CA47" i="1"/>
  <c r="CH47" i="1"/>
  <c r="CI47" i="1"/>
  <c r="AI36" i="1"/>
  <c r="AM36" i="1"/>
  <c r="AQ36" i="1"/>
  <c r="AX36" i="1"/>
  <c r="AY36" i="1"/>
  <c r="CA36" i="1"/>
  <c r="CH36" i="1"/>
  <c r="CI36" i="1"/>
  <c r="U54" i="2"/>
  <c r="CH5" i="1"/>
  <c r="CI5" i="1"/>
  <c r="CH6" i="1"/>
  <c r="CI6" i="1"/>
  <c r="CH7" i="1"/>
  <c r="CI7" i="1"/>
  <c r="CH8" i="1"/>
  <c r="CI8" i="1"/>
  <c r="CH9" i="1"/>
  <c r="CI9" i="1"/>
  <c r="CH10" i="1"/>
  <c r="CI10" i="1"/>
  <c r="CH11" i="1"/>
  <c r="CI11" i="1"/>
  <c r="CH12" i="1"/>
  <c r="CI12" i="1"/>
  <c r="CH13" i="1"/>
  <c r="CI13" i="1"/>
  <c r="CH14" i="1"/>
  <c r="CI14" i="1"/>
  <c r="CH15" i="1"/>
  <c r="CI15" i="1"/>
  <c r="CH16" i="1"/>
  <c r="CI16" i="1"/>
  <c r="CH17" i="1"/>
  <c r="CI17" i="1"/>
  <c r="CH18" i="1"/>
  <c r="CI18" i="1"/>
  <c r="CH19" i="1"/>
  <c r="CI19" i="1"/>
  <c r="CH20" i="1"/>
  <c r="CI20" i="1"/>
  <c r="CH21" i="1"/>
  <c r="CI21" i="1"/>
  <c r="CH22" i="1"/>
  <c r="CI22" i="1"/>
  <c r="CH23" i="1"/>
  <c r="CI23" i="1"/>
  <c r="CH24" i="1"/>
  <c r="CI24" i="1"/>
  <c r="CH25" i="1"/>
  <c r="CI25" i="1"/>
  <c r="CH26" i="1"/>
  <c r="CI26" i="1"/>
  <c r="CH27" i="1"/>
  <c r="CI27" i="1"/>
  <c r="CH28" i="1"/>
  <c r="CI28" i="1"/>
  <c r="CH29" i="1"/>
  <c r="CI29" i="1"/>
  <c r="CH30" i="1"/>
  <c r="CI30" i="1"/>
  <c r="CH31" i="1"/>
  <c r="CI31" i="1"/>
  <c r="CH32" i="1"/>
  <c r="CI32" i="1"/>
  <c r="CH33" i="1"/>
  <c r="CI33" i="1"/>
  <c r="CH34" i="1"/>
  <c r="CI34" i="1"/>
  <c r="CH35" i="1"/>
  <c r="CI35" i="1"/>
  <c r="CH37" i="1"/>
  <c r="CI37" i="1"/>
  <c r="CH38" i="1"/>
  <c r="CI38" i="1"/>
  <c r="CH39" i="1"/>
  <c r="CI39" i="1"/>
  <c r="CH40" i="1"/>
  <c r="CI40" i="1"/>
  <c r="CH41" i="1"/>
  <c r="CI41" i="1"/>
  <c r="CH42" i="1"/>
  <c r="CI42" i="1"/>
  <c r="CH43" i="1"/>
  <c r="CI43" i="1"/>
  <c r="CH44" i="1"/>
  <c r="CI44" i="1"/>
  <c r="CH45" i="1"/>
  <c r="CI45" i="1"/>
  <c r="CH46" i="1"/>
  <c r="CI46" i="1"/>
  <c r="CH48" i="1"/>
  <c r="CI48" i="1"/>
  <c r="CH49" i="1"/>
  <c r="CI49" i="1"/>
  <c r="CH50" i="1"/>
  <c r="CI50" i="1"/>
  <c r="CH51" i="1"/>
  <c r="CI51" i="1"/>
  <c r="CH52" i="1"/>
  <c r="CI52" i="1"/>
  <c r="CH53" i="1"/>
  <c r="CI53" i="1"/>
  <c r="CH54" i="1"/>
  <c r="CI54" i="1"/>
  <c r="CH55" i="1"/>
  <c r="CI55" i="1"/>
  <c r="CH56" i="1"/>
  <c r="CI56" i="1"/>
  <c r="CH57" i="1"/>
  <c r="CI57" i="1"/>
  <c r="CH58" i="1"/>
  <c r="CI58" i="1"/>
  <c r="CH59" i="1"/>
  <c r="CI59" i="1"/>
  <c r="CH60" i="1"/>
  <c r="CI60" i="1"/>
  <c r="CH62" i="1"/>
  <c r="CI62" i="1"/>
  <c r="CH63" i="1"/>
  <c r="CI63" i="1"/>
  <c r="CH64" i="1"/>
  <c r="CI64" i="1"/>
  <c r="CH65" i="1"/>
  <c r="CI65" i="1"/>
  <c r="CH66" i="1"/>
  <c r="CI66" i="1"/>
  <c r="CH67" i="1"/>
  <c r="CI67" i="1"/>
  <c r="CH68" i="1"/>
  <c r="CI68" i="1"/>
  <c r="CH69" i="1"/>
  <c r="CI69" i="1"/>
  <c r="CH70" i="1"/>
  <c r="CI70" i="1"/>
  <c r="CH71" i="1"/>
  <c r="CI71" i="1"/>
  <c r="CH72" i="1"/>
  <c r="CI72" i="1"/>
  <c r="CH73" i="1"/>
  <c r="CI73" i="1"/>
  <c r="CH74" i="1"/>
  <c r="CI74" i="1"/>
  <c r="CH75" i="1"/>
  <c r="CI75" i="1"/>
  <c r="CH76" i="1"/>
  <c r="CI76" i="1"/>
  <c r="CH77" i="1"/>
  <c r="CI77" i="1"/>
  <c r="CH78" i="1"/>
  <c r="CI78" i="1"/>
  <c r="CH79" i="1"/>
  <c r="CI79" i="1"/>
  <c r="CH80" i="1"/>
  <c r="CI80" i="1"/>
  <c r="CH81" i="1"/>
  <c r="CI81" i="1"/>
  <c r="CH82" i="1"/>
  <c r="CI82" i="1"/>
  <c r="CI4" i="1"/>
  <c r="CH4" i="1"/>
  <c r="AO90" i="2"/>
  <c r="AP90" i="2"/>
  <c r="AQ90" i="2"/>
  <c r="AS90" i="2" s="1"/>
  <c r="AR90" i="2"/>
  <c r="AT90" i="2" s="1"/>
  <c r="AO92" i="2"/>
  <c r="AO91" i="2" s="1"/>
  <c r="AP92" i="2"/>
  <c r="AQ92" i="2"/>
  <c r="AR92" i="2"/>
  <c r="AO95" i="2"/>
  <c r="AP95" i="2"/>
  <c r="AQ95" i="2"/>
  <c r="AS95" i="2" s="1"/>
  <c r="AR95" i="2"/>
  <c r="AT95" i="2" s="1"/>
  <c r="AO96" i="2"/>
  <c r="AP96" i="2"/>
  <c r="AQ96" i="2"/>
  <c r="AS96" i="2" s="1"/>
  <c r="AR96" i="2"/>
  <c r="AT96" i="2" s="1"/>
  <c r="AO97" i="2"/>
  <c r="AP97" i="2"/>
  <c r="AQ97" i="2"/>
  <c r="AS97" i="2" s="1"/>
  <c r="AR97" i="2"/>
  <c r="AT97" i="2" s="1"/>
  <c r="AO100" i="2"/>
  <c r="AP100" i="2"/>
  <c r="AP101" i="2" s="1"/>
  <c r="AQ100" i="2"/>
  <c r="AS100" i="2" s="1"/>
  <c r="AR100" i="2"/>
  <c r="AT100" i="2" s="1"/>
  <c r="AO101" i="2"/>
  <c r="AQ101" i="2"/>
  <c r="AS101" i="2" s="1"/>
  <c r="AR101" i="2"/>
  <c r="AT101" i="2" s="1"/>
  <c r="AO103" i="2"/>
  <c r="AO102" i="2" s="1"/>
  <c r="AP103" i="2"/>
  <c r="AP102" i="2" s="1"/>
  <c r="AQ103" i="2"/>
  <c r="AR103" i="2"/>
  <c r="AO113" i="2"/>
  <c r="AP113" i="2"/>
  <c r="AQ113" i="2"/>
  <c r="AS113" i="2" s="1"/>
  <c r="AR113" i="2"/>
  <c r="AT113" i="2" s="1"/>
  <c r="AO114" i="2"/>
  <c r="AP114" i="2"/>
  <c r="AQ114" i="2"/>
  <c r="AS114" i="2" s="1"/>
  <c r="AR114" i="2"/>
  <c r="AT114" i="2" s="1"/>
  <c r="AO115" i="2"/>
  <c r="AP115" i="2"/>
  <c r="AQ115" i="2"/>
  <c r="AS115" i="2" s="1"/>
  <c r="AR115" i="2"/>
  <c r="AT115" i="2" s="1"/>
  <c r="AO116" i="2"/>
  <c r="AP116" i="2"/>
  <c r="AQ116" i="2"/>
  <c r="AS116" i="2" s="1"/>
  <c r="AR116" i="2"/>
  <c r="AT116" i="2" s="1"/>
  <c r="AO117" i="2"/>
  <c r="AP117" i="2"/>
  <c r="AQ117" i="2"/>
  <c r="AS117" i="2" s="1"/>
  <c r="AR117" i="2"/>
  <c r="AT117" i="2" s="1"/>
  <c r="AO118" i="2"/>
  <c r="AP118" i="2"/>
  <c r="AQ118" i="2"/>
  <c r="AS118" i="2" s="1"/>
  <c r="AR118" i="2"/>
  <c r="AT118" i="2" s="1"/>
  <c r="AS5" i="2"/>
  <c r="AT5" i="2"/>
  <c r="AS6" i="2"/>
  <c r="AT6" i="2"/>
  <c r="AS7" i="2"/>
  <c r="AT7" i="2"/>
  <c r="AS8" i="2"/>
  <c r="AT8" i="2"/>
  <c r="AS9" i="2"/>
  <c r="AT9" i="2"/>
  <c r="AS10" i="2"/>
  <c r="AT10" i="2"/>
  <c r="AS11" i="2"/>
  <c r="AT11" i="2"/>
  <c r="AS12" i="2"/>
  <c r="AT12" i="2"/>
  <c r="AS13" i="2"/>
  <c r="AT13" i="2"/>
  <c r="AS14" i="2"/>
  <c r="AT14" i="2"/>
  <c r="AS15" i="2"/>
  <c r="AT15" i="2"/>
  <c r="AS16" i="2"/>
  <c r="AT16" i="2"/>
  <c r="AS17" i="2"/>
  <c r="AT17" i="2"/>
  <c r="AS18" i="2"/>
  <c r="AT18" i="2"/>
  <c r="AS19" i="2"/>
  <c r="AT19" i="2"/>
  <c r="AS20" i="2"/>
  <c r="AT20" i="2"/>
  <c r="AS21" i="2"/>
  <c r="AT21" i="2"/>
  <c r="AS22" i="2"/>
  <c r="AT22" i="2"/>
  <c r="AS23" i="2"/>
  <c r="AT23" i="2"/>
  <c r="AS24" i="2"/>
  <c r="AT24" i="2"/>
  <c r="AS25" i="2"/>
  <c r="AT25" i="2"/>
  <c r="AS26" i="2"/>
  <c r="AT26" i="2"/>
  <c r="AS27" i="2"/>
  <c r="AT27" i="2"/>
  <c r="AS28" i="2"/>
  <c r="AT28" i="2"/>
  <c r="AS29" i="2"/>
  <c r="AT29" i="2"/>
  <c r="AS30" i="2"/>
  <c r="AT30" i="2"/>
  <c r="AS31" i="2"/>
  <c r="AT31" i="2"/>
  <c r="AS32" i="2"/>
  <c r="AT32" i="2"/>
  <c r="AS33" i="2"/>
  <c r="AT33" i="2"/>
  <c r="AS34" i="2"/>
  <c r="AT34" i="2"/>
  <c r="AS35" i="2"/>
  <c r="AT35" i="2"/>
  <c r="AS36" i="2"/>
  <c r="AT36" i="2"/>
  <c r="AS37" i="2"/>
  <c r="AT37" i="2"/>
  <c r="AS38" i="2"/>
  <c r="AT38" i="2"/>
  <c r="AS39" i="2"/>
  <c r="AT39" i="2"/>
  <c r="AS40" i="2"/>
  <c r="AT40" i="2"/>
  <c r="AS41" i="2"/>
  <c r="AT41" i="2"/>
  <c r="AS42" i="2"/>
  <c r="AT42" i="2"/>
  <c r="AS43" i="2"/>
  <c r="AT43" i="2"/>
  <c r="AS44" i="2"/>
  <c r="AT44" i="2"/>
  <c r="AS45" i="2"/>
  <c r="AT45" i="2"/>
  <c r="AS46" i="2"/>
  <c r="AT46" i="2"/>
  <c r="AS47" i="2"/>
  <c r="AT47" i="2"/>
  <c r="AS48" i="2"/>
  <c r="AT48" i="2"/>
  <c r="AS49" i="2"/>
  <c r="AT49" i="2"/>
  <c r="AS50" i="2"/>
  <c r="AT50" i="2"/>
  <c r="AS51" i="2"/>
  <c r="AT51" i="2"/>
  <c r="AS52" i="2"/>
  <c r="AT52" i="2"/>
  <c r="AS53" i="2"/>
  <c r="AT53" i="2"/>
  <c r="AS54" i="2"/>
  <c r="AT54" i="2"/>
  <c r="AS55" i="2"/>
  <c r="AT55" i="2"/>
  <c r="AS56" i="2"/>
  <c r="AT56" i="2"/>
  <c r="AS57" i="2"/>
  <c r="AT57" i="2"/>
  <c r="AS58" i="2"/>
  <c r="AT58" i="2"/>
  <c r="AS59" i="2"/>
  <c r="AT59" i="2"/>
  <c r="AS60" i="2"/>
  <c r="AT60" i="2"/>
  <c r="AS61" i="2"/>
  <c r="AT61" i="2"/>
  <c r="AS62" i="2"/>
  <c r="AT62" i="2"/>
  <c r="AS63" i="2"/>
  <c r="AT63" i="2"/>
  <c r="AS64" i="2"/>
  <c r="AT64" i="2"/>
  <c r="AS65" i="2"/>
  <c r="AT65" i="2"/>
  <c r="AS66" i="2"/>
  <c r="AT66" i="2"/>
  <c r="AS67" i="2"/>
  <c r="AT67" i="2"/>
  <c r="AS68" i="2"/>
  <c r="AT68" i="2"/>
  <c r="AS69" i="2"/>
  <c r="AT69" i="2"/>
  <c r="AS70" i="2"/>
  <c r="AT70" i="2"/>
  <c r="AS71" i="2"/>
  <c r="AT71" i="2"/>
  <c r="AS72" i="2"/>
  <c r="AT72" i="2"/>
  <c r="AS73" i="2"/>
  <c r="AT73" i="2"/>
  <c r="AS74" i="2"/>
  <c r="AT74" i="2"/>
  <c r="AS75" i="2"/>
  <c r="AT75" i="2"/>
  <c r="AS76" i="2"/>
  <c r="AT76" i="2"/>
  <c r="AS77" i="2"/>
  <c r="AT77" i="2"/>
  <c r="AS78" i="2"/>
  <c r="AT78" i="2"/>
  <c r="AS79" i="2"/>
  <c r="AT79" i="2"/>
  <c r="AS80" i="2"/>
  <c r="AT80" i="2"/>
  <c r="AS81" i="2"/>
  <c r="AT81" i="2"/>
  <c r="AS82" i="2"/>
  <c r="AT82" i="2"/>
  <c r="AT4" i="2"/>
  <c r="AS4" i="2"/>
  <c r="AO83" i="2"/>
  <c r="AS83" i="2" s="1"/>
  <c r="AP83" i="2"/>
  <c r="AT83" i="2" s="1"/>
  <c r="CA5" i="1"/>
  <c r="CA6" i="1"/>
  <c r="CA7" i="1"/>
  <c r="CA8" i="1"/>
  <c r="CA9" i="1"/>
  <c r="CA10" i="1"/>
  <c r="CA11" i="1"/>
  <c r="CA12" i="1"/>
  <c r="CA13" i="1"/>
  <c r="CA14" i="1"/>
  <c r="CA15" i="1"/>
  <c r="CA16" i="1"/>
  <c r="CA17" i="1"/>
  <c r="CA18" i="1"/>
  <c r="CA19" i="1"/>
  <c r="CA20" i="1"/>
  <c r="CA21" i="1"/>
  <c r="CA22" i="1"/>
  <c r="CA23" i="1"/>
  <c r="CA24" i="1"/>
  <c r="CA25" i="1"/>
  <c r="CA26" i="1"/>
  <c r="CA27" i="1"/>
  <c r="CA28" i="1"/>
  <c r="CA29" i="1"/>
  <c r="CA30" i="1"/>
  <c r="CA31" i="1"/>
  <c r="CA32" i="1"/>
  <c r="CA33" i="1"/>
  <c r="CA34" i="1"/>
  <c r="CA35" i="1"/>
  <c r="CA37" i="1"/>
  <c r="CA38" i="1"/>
  <c r="CA39" i="1"/>
  <c r="CA40" i="1"/>
  <c r="CA41" i="1"/>
  <c r="CA42" i="1"/>
  <c r="CA43" i="1"/>
  <c r="CA44" i="1"/>
  <c r="CA45" i="1"/>
  <c r="CA46" i="1"/>
  <c r="CA48" i="1"/>
  <c r="CA49" i="1"/>
  <c r="CA50" i="1"/>
  <c r="CA51" i="1"/>
  <c r="CA52" i="1"/>
  <c r="CA53" i="1"/>
  <c r="CA54" i="1"/>
  <c r="CA55" i="1"/>
  <c r="CA56" i="1"/>
  <c r="CA57" i="1"/>
  <c r="CA58" i="1"/>
  <c r="CA59" i="1"/>
  <c r="CA60" i="1"/>
  <c r="CA62" i="1"/>
  <c r="CA63" i="1"/>
  <c r="CA64" i="1"/>
  <c r="CA65" i="1"/>
  <c r="CA66" i="1"/>
  <c r="CA67" i="1"/>
  <c r="CA68" i="1"/>
  <c r="CA69" i="1"/>
  <c r="CA70" i="1"/>
  <c r="CA71" i="1"/>
  <c r="CA72" i="1"/>
  <c r="CA73" i="1"/>
  <c r="CA74" i="1"/>
  <c r="CA75" i="1"/>
  <c r="CA76" i="1"/>
  <c r="CA77" i="1"/>
  <c r="CA78" i="1"/>
  <c r="CA79" i="1"/>
  <c r="CA80" i="1"/>
  <c r="CA81" i="1"/>
  <c r="CA82" i="1"/>
  <c r="CG82" i="2"/>
  <c r="CG69" i="2"/>
  <c r="CG70" i="2"/>
  <c r="CG71" i="2"/>
  <c r="CG72" i="2"/>
  <c r="CG73" i="2"/>
  <c r="CG74" i="2"/>
  <c r="CG75" i="2"/>
  <c r="CG76" i="2"/>
  <c r="CG77" i="2"/>
  <c r="CG78" i="2"/>
  <c r="CG79" i="2"/>
  <c r="CG80" i="2"/>
  <c r="CG81" i="2"/>
  <c r="CG68" i="2"/>
  <c r="CG63" i="2"/>
  <c r="CG64" i="2"/>
  <c r="CG65" i="2"/>
  <c r="CG66" i="2"/>
  <c r="CG62" i="2"/>
  <c r="CG51" i="2"/>
  <c r="CG52" i="2"/>
  <c r="CG53" i="2"/>
  <c r="CG54" i="2"/>
  <c r="CG55" i="2"/>
  <c r="CG56" i="2"/>
  <c r="CG57" i="2"/>
  <c r="CG58" i="2"/>
  <c r="CG59" i="2"/>
  <c r="CG50" i="2"/>
  <c r="CG38" i="2"/>
  <c r="CG39" i="2"/>
  <c r="CG40" i="2"/>
  <c r="CG41" i="2"/>
  <c r="CG42" i="2"/>
  <c r="CG43" i="2"/>
  <c r="CG44" i="2"/>
  <c r="CG45" i="2"/>
  <c r="CG46" i="2"/>
  <c r="CG48" i="2"/>
  <c r="CG37" i="2"/>
  <c r="CG30" i="2"/>
  <c r="CG31" i="2"/>
  <c r="CG32" i="2"/>
  <c r="CG33" i="2"/>
  <c r="CG34" i="2"/>
  <c r="CG35" i="2"/>
  <c r="CG29" i="2"/>
  <c r="CG27" i="2"/>
  <c r="CG26" i="2"/>
  <c r="CG24" i="2"/>
  <c r="CG23" i="2"/>
  <c r="CG22" i="2"/>
  <c r="CG21" i="2"/>
  <c r="CG19" i="2"/>
  <c r="CG18" i="2"/>
  <c r="CG9" i="2"/>
  <c r="CG10" i="2"/>
  <c r="CG11" i="2"/>
  <c r="CG12" i="2"/>
  <c r="CG13" i="2"/>
  <c r="CG14" i="2"/>
  <c r="CG15" i="2"/>
  <c r="CG16" i="2"/>
  <c r="CG6" i="2"/>
  <c r="CG7" i="2"/>
  <c r="CG8" i="2"/>
  <c r="CG5" i="2"/>
  <c r="L61" i="2"/>
  <c r="V61" i="2"/>
  <c r="Z61" i="2"/>
  <c r="AD61" i="2"/>
  <c r="AU61" i="2"/>
  <c r="AV61" i="2"/>
  <c r="BV61" i="2"/>
  <c r="BW61" i="2"/>
  <c r="L47" i="2"/>
  <c r="BV47" i="2" s="1"/>
  <c r="V47" i="2"/>
  <c r="Z47" i="2"/>
  <c r="AD47" i="2"/>
  <c r="L36" i="2"/>
  <c r="L118" i="2" s="1"/>
  <c r="V36" i="2"/>
  <c r="V118" i="2" s="1"/>
  <c r="Z36" i="2"/>
  <c r="Z118" i="2" s="1"/>
  <c r="AD36" i="2"/>
  <c r="AD118" i="2" s="1"/>
  <c r="L28" i="2"/>
  <c r="V28" i="2"/>
  <c r="Z28" i="2"/>
  <c r="AD28" i="2"/>
  <c r="L23" i="2"/>
  <c r="V23" i="2"/>
  <c r="Z23" i="2"/>
  <c r="AD23" i="2"/>
  <c r="Y31" i="1"/>
  <c r="AB31" i="1"/>
  <c r="V31" i="1"/>
  <c r="P17" i="2"/>
  <c r="P83" i="2" s="1"/>
  <c r="F17" i="2"/>
  <c r="AC17" i="2"/>
  <c r="Y17" i="2"/>
  <c r="R17" i="2"/>
  <c r="R83" i="2" s="1"/>
  <c r="F83" i="2"/>
  <c r="H17" i="2"/>
  <c r="H83" i="2" s="1"/>
  <c r="U17" i="2"/>
  <c r="U83" i="2" s="1"/>
  <c r="K17" i="2"/>
  <c r="K83" i="2" s="1"/>
  <c r="N83" i="2"/>
  <c r="Q83" i="2"/>
  <c r="T83" i="2"/>
  <c r="D83" i="2"/>
  <c r="G83" i="2"/>
  <c r="J83" i="2"/>
  <c r="O17" i="2"/>
  <c r="O83" i="2" s="1"/>
  <c r="S17" i="2"/>
  <c r="S83" i="2" s="1"/>
  <c r="M17" i="2"/>
  <c r="M83" i="2" s="1"/>
  <c r="E17" i="2"/>
  <c r="E83" i="2" s="1"/>
  <c r="I17" i="2"/>
  <c r="I83" i="2" s="1"/>
  <c r="C17" i="2"/>
  <c r="C83" i="2" s="1"/>
  <c r="B103" i="1"/>
  <c r="B102" i="1" s="1"/>
  <c r="B100" i="1"/>
  <c r="B101" i="1" s="1"/>
  <c r="B97" i="1"/>
  <c r="B96" i="1"/>
  <c r="B95" i="1"/>
  <c r="B92" i="1"/>
  <c r="B90" i="1"/>
  <c r="B92" i="2"/>
  <c r="B90" i="2"/>
  <c r="B96" i="2"/>
  <c r="B97" i="2"/>
  <c r="B95" i="2"/>
  <c r="B103" i="2"/>
  <c r="B102" i="2" s="1"/>
  <c r="B100" i="2"/>
  <c r="B101" i="2" s="1"/>
  <c r="BX47" i="1" l="1"/>
  <c r="CG47" i="1" s="1"/>
  <c r="BE47" i="1"/>
  <c r="AR47" i="1"/>
  <c r="BD47" i="1"/>
  <c r="AR36" i="1"/>
  <c r="AN36" i="1"/>
  <c r="AT36" i="1"/>
  <c r="AS47" i="1"/>
  <c r="AS36" i="1"/>
  <c r="AJ47" i="1"/>
  <c r="AJ36" i="1"/>
  <c r="BW36" i="1"/>
  <c r="BX36" i="1"/>
  <c r="CG36" i="1" s="1"/>
  <c r="AP91" i="2"/>
  <c r="AS87" i="2"/>
  <c r="AS85" i="2"/>
  <c r="AT87" i="2"/>
  <c r="AT85" i="2"/>
  <c r="B91" i="2"/>
  <c r="AQ91" i="2"/>
  <c r="AS91" i="2" s="1"/>
  <c r="AS92" i="2"/>
  <c r="AR91" i="2"/>
  <c r="AT91" i="2" s="1"/>
  <c r="AT92" i="2"/>
  <c r="AQ102" i="2"/>
  <c r="AS102" i="2" s="1"/>
  <c r="AS103" i="2"/>
  <c r="AR102" i="2"/>
  <c r="AT102" i="2" s="1"/>
  <c r="AT103" i="2"/>
  <c r="AN28" i="2"/>
  <c r="AG118" i="2"/>
  <c r="AL113" i="2"/>
  <c r="AK113" i="2"/>
  <c r="AJ113" i="2"/>
  <c r="AI61" i="2"/>
  <c r="AH61" i="2"/>
  <c r="BZ61" i="2" s="1"/>
  <c r="AN61" i="2"/>
  <c r="AL118" i="2"/>
  <c r="AJ115" i="2"/>
  <c r="AH47" i="2"/>
  <c r="AN23" i="2"/>
  <c r="AM28" i="2"/>
  <c r="AK116" i="2"/>
  <c r="AJ114" i="2"/>
  <c r="AK117" i="2"/>
  <c r="AK115" i="2"/>
  <c r="AJ116" i="2"/>
  <c r="AL116" i="2"/>
  <c r="AK114" i="2"/>
  <c r="AL114" i="2"/>
  <c r="AJ117" i="2"/>
  <c r="AL117" i="2"/>
  <c r="AL115" i="2"/>
  <c r="AM61" i="2"/>
  <c r="AI47" i="2"/>
  <c r="CA47" i="2" s="1"/>
  <c r="AM23" i="2"/>
  <c r="D113" i="2"/>
  <c r="E113" i="2"/>
  <c r="F113" i="2"/>
  <c r="G113" i="2"/>
  <c r="H113" i="2"/>
  <c r="I113" i="2"/>
  <c r="J113" i="2"/>
  <c r="K113" i="2"/>
  <c r="M113" i="2"/>
  <c r="F114" i="2"/>
  <c r="H114" i="2"/>
  <c r="K114" i="2"/>
  <c r="N114" i="2"/>
  <c r="P114" i="2"/>
  <c r="R114" i="2"/>
  <c r="W114" i="2"/>
  <c r="AA114" i="2"/>
  <c r="W118" i="2"/>
  <c r="F115" i="2"/>
  <c r="I115" i="2"/>
  <c r="M115" i="2"/>
  <c r="Q115" i="2"/>
  <c r="U115" i="2"/>
  <c r="AB115" i="2"/>
  <c r="W113" i="2"/>
  <c r="F116" i="2"/>
  <c r="J116" i="2"/>
  <c r="O116" i="2"/>
  <c r="R116" i="2"/>
  <c r="W116" i="2"/>
  <c r="O118" i="2"/>
  <c r="T118" i="2"/>
  <c r="Y118" i="2"/>
  <c r="AC118" i="2"/>
  <c r="C115" i="2"/>
  <c r="C113" i="2"/>
  <c r="C117" i="2"/>
  <c r="I114" i="2"/>
  <c r="T114" i="2"/>
  <c r="X114" i="2"/>
  <c r="N113" i="2"/>
  <c r="O113" i="2"/>
  <c r="P113" i="2"/>
  <c r="Q113" i="2"/>
  <c r="R113" i="2"/>
  <c r="S113" i="2"/>
  <c r="T113" i="2"/>
  <c r="U113" i="2"/>
  <c r="AC114" i="2"/>
  <c r="X113" i="2"/>
  <c r="Y113" i="2"/>
  <c r="AA113" i="2"/>
  <c r="AB113" i="2"/>
  <c r="AC113" i="2"/>
  <c r="E115" i="2"/>
  <c r="J115" i="2"/>
  <c r="N115" i="2"/>
  <c r="D114" i="2"/>
  <c r="E114" i="2"/>
  <c r="G114" i="2"/>
  <c r="J114" i="2"/>
  <c r="M114" i="2"/>
  <c r="O114" i="2"/>
  <c r="Q114" i="2"/>
  <c r="U114" i="2"/>
  <c r="Y114" i="2"/>
  <c r="R115" i="2"/>
  <c r="D115" i="2"/>
  <c r="H115" i="2"/>
  <c r="P115" i="2"/>
  <c r="T115" i="2"/>
  <c r="X115" i="2"/>
  <c r="AC115" i="2"/>
  <c r="Y115" i="2"/>
  <c r="G116" i="2"/>
  <c r="K116" i="2"/>
  <c r="S116" i="2"/>
  <c r="H118" i="2"/>
  <c r="J118" i="2"/>
  <c r="D116" i="2"/>
  <c r="Q118" i="2"/>
  <c r="H116" i="2"/>
  <c r="N116" i="2"/>
  <c r="Q116" i="2"/>
  <c r="U116" i="2"/>
  <c r="M118" i="2"/>
  <c r="C118" i="2"/>
  <c r="X116" i="2"/>
  <c r="Y116" i="2"/>
  <c r="AA116" i="2"/>
  <c r="AB116" i="2"/>
  <c r="AC116" i="2"/>
  <c r="S118" i="2"/>
  <c r="X118" i="2"/>
  <c r="AB118" i="2"/>
  <c r="D117" i="2"/>
  <c r="E117" i="2"/>
  <c r="F117" i="2"/>
  <c r="G117" i="2"/>
  <c r="H117" i="2"/>
  <c r="I117" i="2"/>
  <c r="J117" i="2"/>
  <c r="K117" i="2"/>
  <c r="M117" i="2"/>
  <c r="N117" i="2"/>
  <c r="O117" i="2"/>
  <c r="P117" i="2"/>
  <c r="Q117" i="2"/>
  <c r="R117" i="2"/>
  <c r="S117" i="2"/>
  <c r="T117" i="2"/>
  <c r="U117" i="2"/>
  <c r="W117" i="2"/>
  <c r="X117" i="2"/>
  <c r="Y117" i="2"/>
  <c r="AA117" i="2"/>
  <c r="AB117" i="2"/>
  <c r="AC117" i="2"/>
  <c r="D118" i="2"/>
  <c r="E118" i="2"/>
  <c r="F118" i="2"/>
  <c r="G118" i="2"/>
  <c r="I118" i="2"/>
  <c r="K118" i="2"/>
  <c r="P118" i="2"/>
  <c r="U118" i="2"/>
  <c r="AA118" i="2"/>
  <c r="C116" i="2"/>
  <c r="N118" i="2"/>
  <c r="S114" i="2"/>
  <c r="AB114" i="2"/>
  <c r="G115" i="2"/>
  <c r="K115" i="2"/>
  <c r="O115" i="2"/>
  <c r="S115" i="2"/>
  <c r="W115" i="2"/>
  <c r="AA115" i="2"/>
  <c r="E116" i="2"/>
  <c r="I116" i="2"/>
  <c r="M116" i="2"/>
  <c r="P116" i="2"/>
  <c r="T116" i="2"/>
  <c r="C114" i="2"/>
  <c r="R118" i="2"/>
  <c r="BH47" i="2"/>
  <c r="AM47" i="2"/>
  <c r="AN47" i="2"/>
  <c r="AE118" i="2"/>
  <c r="AH36" i="2"/>
  <c r="BZ36" i="2" s="1"/>
  <c r="AI36" i="2"/>
  <c r="CA36" i="2" s="1"/>
  <c r="AF118" i="2"/>
  <c r="AJ118" i="2"/>
  <c r="AM36" i="2"/>
  <c r="AN36" i="2"/>
  <c r="AK118" i="2"/>
  <c r="BV23" i="2"/>
  <c r="BW23" i="2"/>
  <c r="AH23" i="2"/>
  <c r="AI23" i="2"/>
  <c r="CA23" i="2" s="1"/>
  <c r="BW47" i="2"/>
  <c r="AH28" i="2"/>
  <c r="BZ28" i="2" s="1"/>
  <c r="AI28" i="2"/>
  <c r="CA28" i="2" s="1"/>
  <c r="V17" i="2"/>
  <c r="L17" i="2"/>
  <c r="AN44" i="2"/>
  <c r="AM32" i="2"/>
  <c r="B91" i="1"/>
  <c r="AM64" i="2"/>
  <c r="AM72" i="2"/>
  <c r="AM48" i="2"/>
  <c r="AM11" i="2"/>
  <c r="AN42" i="2"/>
  <c r="AM59" i="2"/>
  <c r="AN70" i="2"/>
  <c r="AM70" i="2"/>
  <c r="AN14" i="2"/>
  <c r="AN65" i="2"/>
  <c r="AM58" i="2"/>
  <c r="AN53" i="2"/>
  <c r="AM62" i="2"/>
  <c r="AN54" i="2"/>
  <c r="AM45" i="2"/>
  <c r="AN31" i="2"/>
  <c r="AN8" i="2"/>
  <c r="AM49" i="2"/>
  <c r="AM17" i="2"/>
  <c r="AM8" i="2"/>
  <c r="AN27" i="2"/>
  <c r="AM44" i="2"/>
  <c r="AN30" i="2"/>
  <c r="AM26" i="2"/>
  <c r="AK103" i="2"/>
  <c r="AK102" i="2" s="1"/>
  <c r="AM71" i="2"/>
  <c r="AN57" i="2"/>
  <c r="AN43" i="2"/>
  <c r="AM39" i="2"/>
  <c r="AM30" i="2"/>
  <c r="AM16" i="2"/>
  <c r="AM73" i="2"/>
  <c r="AM75" i="2"/>
  <c r="AM66" i="2"/>
  <c r="AM57" i="2"/>
  <c r="AN59" i="2"/>
  <c r="AM79" i="2"/>
  <c r="AM33" i="2"/>
  <c r="AN19" i="2"/>
  <c r="AM74" i="2"/>
  <c r="AM37" i="2"/>
  <c r="AL90" i="2"/>
  <c r="AN9" i="2"/>
  <c r="AK90" i="2"/>
  <c r="AN34" i="2"/>
  <c r="AL103" i="2"/>
  <c r="AL102" i="2" s="1"/>
  <c r="AN29" i="2"/>
  <c r="AM82" i="2"/>
  <c r="AN77" i="2"/>
  <c r="AN73" i="2"/>
  <c r="AN64" i="2"/>
  <c r="AN51" i="2"/>
  <c r="AM38" i="2"/>
  <c r="AN24" i="2"/>
  <c r="AN6" i="2"/>
  <c r="AM65" i="2"/>
  <c r="AM50" i="2"/>
  <c r="AN45" i="2"/>
  <c r="AN41" i="2"/>
  <c r="AM10" i="2"/>
  <c r="AN16" i="2"/>
  <c r="AN69" i="2"/>
  <c r="AN68" i="2"/>
  <c r="AN55" i="2"/>
  <c r="AL97" i="2"/>
  <c r="AM5" i="2"/>
  <c r="AN60" i="2"/>
  <c r="AN56" i="2"/>
  <c r="AM42" i="2"/>
  <c r="AM68" i="2"/>
  <c r="AL96" i="2"/>
  <c r="AM76" i="2"/>
  <c r="AN67" i="2"/>
  <c r="AN71" i="2"/>
  <c r="AN62" i="2"/>
  <c r="AN22" i="2"/>
  <c r="AM14" i="2"/>
  <c r="AM12" i="2"/>
  <c r="AM60" i="2"/>
  <c r="AM55" i="2"/>
  <c r="AN76" i="2"/>
  <c r="AN79" i="2"/>
  <c r="AN48" i="2"/>
  <c r="AM40" i="2"/>
  <c r="AN35" i="2"/>
  <c r="AM31" i="2"/>
  <c r="AN17" i="2"/>
  <c r="AN13" i="2"/>
  <c r="AM46" i="2"/>
  <c r="AJ90" i="2"/>
  <c r="AL92" i="2"/>
  <c r="AN58" i="2"/>
  <c r="AM24" i="2"/>
  <c r="AN15" i="2"/>
  <c r="AN7" i="2"/>
  <c r="AL100" i="2"/>
  <c r="AL101" i="2" s="1"/>
  <c r="AM54" i="2"/>
  <c r="AK100" i="2"/>
  <c r="AK101" i="2" s="1"/>
  <c r="AL95" i="2"/>
  <c r="AN72" i="2"/>
  <c r="AM69" i="2"/>
  <c r="AN50" i="2"/>
  <c r="AN46" i="2"/>
  <c r="AM43" i="2"/>
  <c r="AN39" i="2"/>
  <c r="AM35" i="2"/>
  <c r="AM19" i="2"/>
  <c r="AM15" i="2"/>
  <c r="AN11" i="2"/>
  <c r="AM7" i="2"/>
  <c r="AJ100" i="2"/>
  <c r="AJ101" i="2" s="1"/>
  <c r="AK95" i="2"/>
  <c r="AJ95" i="2"/>
  <c r="AM27" i="2"/>
  <c r="AM18" i="2"/>
  <c r="AJ103" i="2"/>
  <c r="AJ102" i="2" s="1"/>
  <c r="AN49" i="2"/>
  <c r="AN38" i="2"/>
  <c r="AM34" i="2"/>
  <c r="AN10" i="2"/>
  <c r="AM6" i="2"/>
  <c r="AN63" i="2"/>
  <c r="AM53" i="2"/>
  <c r="AN37" i="2"/>
  <c r="AN33" i="2"/>
  <c r="AN26" i="2"/>
  <c r="AM22" i="2"/>
  <c r="AN5" i="2"/>
  <c r="AJ97" i="2"/>
  <c r="AK92" i="2"/>
  <c r="AN82" i="2"/>
  <c r="AJ92" i="2"/>
  <c r="AM9" i="2"/>
  <c r="AK97" i="2"/>
  <c r="AN74" i="2"/>
  <c r="AM67" i="2"/>
  <c r="AM56" i="2"/>
  <c r="AM21" i="2"/>
  <c r="AM13" i="2"/>
  <c r="AM63" i="2"/>
  <c r="AN52" i="2"/>
  <c r="AN21" i="2"/>
  <c r="AN81" i="2"/>
  <c r="AM52" i="2"/>
  <c r="AM41" i="2"/>
  <c r="AM29" i="2"/>
  <c r="AN25" i="2"/>
  <c r="AM81" i="2"/>
  <c r="AM77" i="2"/>
  <c r="AN66" i="2"/>
  <c r="AN32" i="2"/>
  <c r="AM25" i="2"/>
  <c r="AN20" i="2"/>
  <c r="AL83" i="2"/>
  <c r="AK96" i="2"/>
  <c r="AM78" i="2"/>
  <c r="AK83" i="2"/>
  <c r="AJ96" i="2"/>
  <c r="AN78" i="2"/>
  <c r="AM80" i="2"/>
  <c r="AM51" i="2"/>
  <c r="AN40" i="2"/>
  <c r="AM20" i="2"/>
  <c r="AN12" i="2"/>
  <c r="AJ83" i="2"/>
  <c r="AN18" i="2"/>
  <c r="AN75" i="2"/>
  <c r="AN80" i="2"/>
  <c r="AN4" i="2"/>
  <c r="AM4" i="2"/>
  <c r="AY56" i="1"/>
  <c r="AY46" i="1"/>
  <c r="AX18" i="1"/>
  <c r="AY79" i="1"/>
  <c r="AY11" i="1"/>
  <c r="AX43" i="1"/>
  <c r="AY64" i="1"/>
  <c r="AY14" i="1"/>
  <c r="AX28" i="1"/>
  <c r="AX17" i="1"/>
  <c r="AX6" i="1"/>
  <c r="AY28" i="1"/>
  <c r="AY4" i="1"/>
  <c r="AY43" i="1"/>
  <c r="AY5" i="1"/>
  <c r="AY18" i="1"/>
  <c r="AX14" i="1"/>
  <c r="AX5" i="1"/>
  <c r="AY58" i="1"/>
  <c r="AY19" i="1"/>
  <c r="AY26" i="1"/>
  <c r="AY54" i="1"/>
  <c r="AY68" i="1"/>
  <c r="AX77" i="1"/>
  <c r="AX21" i="1"/>
  <c r="AX71" i="1"/>
  <c r="AY51" i="1"/>
  <c r="AX54" i="1"/>
  <c r="AY42" i="1"/>
  <c r="AW103" i="1"/>
  <c r="AW102" i="1" s="1"/>
  <c r="AX8" i="1"/>
  <c r="AX42" i="1"/>
  <c r="AX19" i="1"/>
  <c r="AX64" i="1"/>
  <c r="AX45" i="1"/>
  <c r="AY12" i="1"/>
  <c r="AX15" i="1"/>
  <c r="AX68" i="1"/>
  <c r="AY67" i="1"/>
  <c r="AY23" i="1"/>
  <c r="AY71" i="1"/>
  <c r="AY17" i="1"/>
  <c r="AY49" i="1"/>
  <c r="AY62" i="1"/>
  <c r="AX31" i="1"/>
  <c r="AY70" i="1"/>
  <c r="AY74" i="1"/>
  <c r="AX57" i="1"/>
  <c r="AY82" i="1"/>
  <c r="AX78" i="1"/>
  <c r="AY41" i="1"/>
  <c r="AY44" i="1"/>
  <c r="AY53" i="1"/>
  <c r="AX53" i="1"/>
  <c r="AY78" i="1"/>
  <c r="AY16" i="1"/>
  <c r="AY81" i="1"/>
  <c r="AX7" i="1"/>
  <c r="AX50" i="1"/>
  <c r="AY75" i="1"/>
  <c r="AX35" i="1"/>
  <c r="AX70" i="1"/>
  <c r="AX62" i="1"/>
  <c r="AX74" i="1"/>
  <c r="AX33" i="1"/>
  <c r="AX81" i="1"/>
  <c r="AX46" i="1"/>
  <c r="AX27" i="1"/>
  <c r="AY73" i="1"/>
  <c r="AY40" i="1"/>
  <c r="AX60" i="1"/>
  <c r="AY39" i="1"/>
  <c r="AX26" i="1"/>
  <c r="AX72" i="1"/>
  <c r="AY59" i="1"/>
  <c r="AV92" i="1"/>
  <c r="AX49" i="1"/>
  <c r="AY65" i="1"/>
  <c r="AW100" i="1"/>
  <c r="AW101" i="1" s="1"/>
  <c r="AX69" i="1"/>
  <c r="AY22" i="1"/>
  <c r="AU90" i="1"/>
  <c r="AX39" i="1"/>
  <c r="AY29" i="1"/>
  <c r="AY25" i="1"/>
  <c r="AW90" i="1"/>
  <c r="AX59" i="1"/>
  <c r="AY33" i="1"/>
  <c r="AX29" i="1"/>
  <c r="AY77" i="1"/>
  <c r="AX73" i="1"/>
  <c r="AY30" i="1"/>
  <c r="AY15" i="1"/>
  <c r="AX22" i="1"/>
  <c r="AY76" i="1"/>
  <c r="AX34" i="1"/>
  <c r="AX75" i="1"/>
  <c r="AX51" i="1"/>
  <c r="AY32" i="1"/>
  <c r="AX82" i="1"/>
  <c r="AX67" i="1"/>
  <c r="AX63" i="1"/>
  <c r="AY50" i="1"/>
  <c r="AX32" i="1"/>
  <c r="AY24" i="1"/>
  <c r="AY8" i="1"/>
  <c r="AW92" i="1"/>
  <c r="AY60" i="1"/>
  <c r="AX56" i="1"/>
  <c r="AY72" i="1"/>
  <c r="AX25" i="1"/>
  <c r="AY13" i="1"/>
  <c r="AY57" i="1"/>
  <c r="AY21" i="1"/>
  <c r="AY7" i="1"/>
  <c r="AV100" i="1"/>
  <c r="AV101" i="1" s="1"/>
  <c r="AX38" i="1"/>
  <c r="AY34" i="1"/>
  <c r="AY31" i="1"/>
  <c r="AX11" i="1"/>
  <c r="AW83" i="1"/>
  <c r="AU100" i="1"/>
  <c r="AU101" i="1" s="1"/>
  <c r="AX12" i="1"/>
  <c r="AY55" i="1"/>
  <c r="AU83" i="1"/>
  <c r="AX55" i="1"/>
  <c r="AY45" i="1"/>
  <c r="AX58" i="1"/>
  <c r="AY38" i="1"/>
  <c r="AV83" i="1"/>
  <c r="AY80" i="1"/>
  <c r="AX41" i="1"/>
  <c r="AY37" i="1"/>
  <c r="AX24" i="1"/>
  <c r="AY20" i="1"/>
  <c r="AY10" i="1"/>
  <c r="AU92" i="1"/>
  <c r="AX4" i="1"/>
  <c r="AX80" i="1"/>
  <c r="AX44" i="1"/>
  <c r="AX37" i="1"/>
  <c r="AY27" i="1"/>
  <c r="AX20" i="1"/>
  <c r="AX10" i="1"/>
  <c r="AY9" i="1"/>
  <c r="AV103" i="1"/>
  <c r="AV102" i="1" s="1"/>
  <c r="AY66" i="1"/>
  <c r="AX40" i="1"/>
  <c r="AX13" i="1"/>
  <c r="AX9" i="1"/>
  <c r="AU103" i="1"/>
  <c r="AU102" i="1" s="1"/>
  <c r="AX79" i="1"/>
  <c r="AY69" i="1"/>
  <c r="AX66" i="1"/>
  <c r="AX16" i="1"/>
  <c r="AV90" i="1"/>
  <c r="AY52" i="1"/>
  <c r="AX65" i="1"/>
  <c r="AX52" i="1"/>
  <c r="AY35" i="1"/>
  <c r="AY48" i="1"/>
  <c r="AX48" i="1"/>
  <c r="AX76" i="1"/>
  <c r="AY63" i="1"/>
  <c r="AX30" i="1"/>
  <c r="AX23" i="1"/>
  <c r="AY6" i="1"/>
  <c r="AE83" i="1"/>
  <c r="Y83" i="1"/>
  <c r="AA44" i="1"/>
  <c r="AE90" i="1"/>
  <c r="AE92" i="1"/>
  <c r="AE95" i="1"/>
  <c r="AE96" i="1"/>
  <c r="AE97" i="1"/>
  <c r="AE100" i="1"/>
  <c r="AE103" i="1"/>
  <c r="AE102" i="1" s="1"/>
  <c r="Y90" i="1"/>
  <c r="Y92" i="1"/>
  <c r="Y95" i="1"/>
  <c r="Y96" i="1"/>
  <c r="Y97" i="1"/>
  <c r="Y100" i="1"/>
  <c r="Y101" i="1" s="1"/>
  <c r="Y103" i="1"/>
  <c r="Y102" i="1" s="1"/>
  <c r="BG61" i="2" l="1"/>
  <c r="BF61" i="2"/>
  <c r="AW61" i="2"/>
  <c r="BX61" i="2"/>
  <c r="BO61" i="2"/>
  <c r="BN61" i="2"/>
  <c r="BH61" i="2"/>
  <c r="BY61" i="2"/>
  <c r="BR61" i="2"/>
  <c r="BQ61" i="2"/>
  <c r="BL61" i="2"/>
  <c r="BK61" i="2"/>
  <c r="BJ61" i="2"/>
  <c r="BT61" i="1" s="1"/>
  <c r="BO47" i="1"/>
  <c r="BS47" i="1"/>
  <c r="BG47" i="1"/>
  <c r="BQ47" i="1"/>
  <c r="BN36" i="1"/>
  <c r="BM36" i="1"/>
  <c r="BF36" i="1"/>
  <c r="BE36" i="1"/>
  <c r="BW47" i="1"/>
  <c r="BH47" i="1"/>
  <c r="BA47" i="1"/>
  <c r="BJ47" i="1"/>
  <c r="AZ47" i="1"/>
  <c r="BI47" i="1"/>
  <c r="BR47" i="1" s="1"/>
  <c r="BB47" i="1"/>
  <c r="BJ36" i="1"/>
  <c r="BI36" i="1"/>
  <c r="BB36" i="1"/>
  <c r="BA36" i="1"/>
  <c r="AS88" i="2"/>
  <c r="AT88" i="2"/>
  <c r="BX47" i="2"/>
  <c r="AX61" i="2"/>
  <c r="CA61" i="2"/>
  <c r="BO47" i="2"/>
  <c r="BF47" i="2"/>
  <c r="BN47" i="2"/>
  <c r="BG47" i="2"/>
  <c r="BZ47" i="2"/>
  <c r="BN23" i="2"/>
  <c r="BZ23" i="2"/>
  <c r="BY47" i="2"/>
  <c r="BL47" i="2"/>
  <c r="BK47" i="2"/>
  <c r="BJ47" i="2"/>
  <c r="BM47" i="2" s="1"/>
  <c r="AN115" i="2"/>
  <c r="AM118" i="2"/>
  <c r="AN118" i="2"/>
  <c r="AN116" i="2"/>
  <c r="AN117" i="2"/>
  <c r="AM117" i="2"/>
  <c r="AM115" i="2"/>
  <c r="AN114" i="2"/>
  <c r="AM116" i="2"/>
  <c r="AM114" i="2"/>
  <c r="AN113" i="2"/>
  <c r="AM113" i="2"/>
  <c r="BQ47" i="2"/>
  <c r="BR47" i="2"/>
  <c r="BP61" i="2"/>
  <c r="BI61" i="2"/>
  <c r="BS61" i="2"/>
  <c r="BM61" i="2"/>
  <c r="BO36" i="2"/>
  <c r="BG36" i="2"/>
  <c r="AH118" i="2"/>
  <c r="BZ118" i="2" s="1"/>
  <c r="BX36" i="2"/>
  <c r="BH36" i="2"/>
  <c r="BL36" i="2"/>
  <c r="AI118" i="2"/>
  <c r="BY36" i="2"/>
  <c r="BR36" i="2"/>
  <c r="BK36" i="2"/>
  <c r="BH23" i="2"/>
  <c r="BG23" i="2"/>
  <c r="BF23" i="2"/>
  <c r="BX23" i="2"/>
  <c r="BO23" i="2"/>
  <c r="BY23" i="2"/>
  <c r="BR23" i="2"/>
  <c r="BL23" i="2"/>
  <c r="BK23" i="2"/>
  <c r="BT61" i="2"/>
  <c r="BU61" i="2"/>
  <c r="BJ23" i="2"/>
  <c r="BQ23" i="2"/>
  <c r="BX28" i="2"/>
  <c r="BO28" i="2"/>
  <c r="BH28" i="2"/>
  <c r="BG28" i="2"/>
  <c r="BY28" i="2"/>
  <c r="BR28" i="2"/>
  <c r="BL28" i="2"/>
  <c r="BK28" i="2"/>
  <c r="AM103" i="2"/>
  <c r="AM102" i="2" s="1"/>
  <c r="AM97" i="2"/>
  <c r="AN97" i="2"/>
  <c r="AM96" i="2"/>
  <c r="AJ91" i="2"/>
  <c r="AM92" i="2"/>
  <c r="AK91" i="2"/>
  <c r="AL91" i="2"/>
  <c r="AM100" i="2"/>
  <c r="AM101" i="2" s="1"/>
  <c r="AM90" i="2"/>
  <c r="AM83" i="2"/>
  <c r="AM95" i="2"/>
  <c r="AN95" i="2"/>
  <c r="AN100" i="2"/>
  <c r="AN101" i="2" s="1"/>
  <c r="AN90" i="2"/>
  <c r="AN83" i="2"/>
  <c r="AN96" i="2"/>
  <c r="AN103" i="2"/>
  <c r="AN102" i="2" s="1"/>
  <c r="AN92" i="2"/>
  <c r="AY103" i="1"/>
  <c r="AY102" i="1" s="1"/>
  <c r="AV91" i="1"/>
  <c r="AY100" i="1"/>
  <c r="AY101" i="1" s="1"/>
  <c r="AU91" i="1"/>
  <c r="AW91" i="1"/>
  <c r="AY83" i="1"/>
  <c r="AX103" i="1"/>
  <c r="AX102" i="1" s="1"/>
  <c r="AX92" i="1"/>
  <c r="AY90" i="1"/>
  <c r="AY92" i="1"/>
  <c r="AX100" i="1"/>
  <c r="AX101" i="1" s="1"/>
  <c r="AX90" i="1"/>
  <c r="AX83" i="1"/>
  <c r="AE101" i="1"/>
  <c r="Y91" i="1"/>
  <c r="AE91" i="1"/>
  <c r="AB11" i="1"/>
  <c r="AB96" i="1" s="1"/>
  <c r="V11" i="1"/>
  <c r="V96" i="1" s="1"/>
  <c r="N44" i="1"/>
  <c r="AB77" i="1"/>
  <c r="AB97" i="1" s="1"/>
  <c r="V77" i="1"/>
  <c r="V97" i="1" s="1"/>
  <c r="D95" i="1"/>
  <c r="F95" i="1"/>
  <c r="G95" i="1"/>
  <c r="H95" i="1"/>
  <c r="I95" i="1"/>
  <c r="L95" i="1"/>
  <c r="M95" i="1"/>
  <c r="O95" i="1"/>
  <c r="P95" i="1"/>
  <c r="Q95" i="1"/>
  <c r="R95" i="1"/>
  <c r="V95" i="1"/>
  <c r="X95" i="1"/>
  <c r="Z95" i="1"/>
  <c r="AB95" i="1"/>
  <c r="AD95" i="1"/>
  <c r="AF95" i="1"/>
  <c r="D96" i="1"/>
  <c r="F96" i="1"/>
  <c r="G96" i="1"/>
  <c r="H96" i="1"/>
  <c r="I96" i="1"/>
  <c r="L96" i="1"/>
  <c r="M96" i="1"/>
  <c r="O96" i="1"/>
  <c r="P96" i="1"/>
  <c r="Q96" i="1"/>
  <c r="R96" i="1"/>
  <c r="X96" i="1"/>
  <c r="Z96" i="1"/>
  <c r="AD96" i="1"/>
  <c r="AF96" i="1"/>
  <c r="D97" i="1"/>
  <c r="F97" i="1"/>
  <c r="G97" i="1"/>
  <c r="H97" i="1"/>
  <c r="I97" i="1"/>
  <c r="L97" i="1"/>
  <c r="M97" i="1"/>
  <c r="O97" i="1"/>
  <c r="P97" i="1"/>
  <c r="Q97" i="1"/>
  <c r="R97" i="1"/>
  <c r="X97" i="1"/>
  <c r="Z97" i="1"/>
  <c r="AD97" i="1"/>
  <c r="AF97" i="1"/>
  <c r="D100" i="1"/>
  <c r="D101" i="1" s="1"/>
  <c r="F100" i="1"/>
  <c r="F101" i="1" s="1"/>
  <c r="G100" i="1"/>
  <c r="G101" i="1" s="1"/>
  <c r="H100" i="1"/>
  <c r="H101" i="1" s="1"/>
  <c r="I100" i="1"/>
  <c r="I101" i="1" s="1"/>
  <c r="L100" i="1"/>
  <c r="L101" i="1" s="1"/>
  <c r="M100" i="1"/>
  <c r="M101" i="1" s="1"/>
  <c r="O100" i="1"/>
  <c r="O101" i="1" s="1"/>
  <c r="P100" i="1"/>
  <c r="P101" i="1" s="1"/>
  <c r="Q100" i="1"/>
  <c r="Q101" i="1" s="1"/>
  <c r="R100" i="1"/>
  <c r="R101" i="1" s="1"/>
  <c r="V100" i="1"/>
  <c r="V101" i="1" s="1"/>
  <c r="X100" i="1"/>
  <c r="X101" i="1" s="1"/>
  <c r="Z100" i="1"/>
  <c r="Z101" i="1" s="1"/>
  <c r="AB100" i="1"/>
  <c r="AB101" i="1" s="1"/>
  <c r="AD100" i="1"/>
  <c r="AD101" i="1" s="1"/>
  <c r="AF100" i="1"/>
  <c r="AF101" i="1" s="1"/>
  <c r="D103" i="1"/>
  <c r="D102" i="1" s="1"/>
  <c r="E103" i="1"/>
  <c r="F103" i="1"/>
  <c r="F102" i="1" s="1"/>
  <c r="G103" i="1"/>
  <c r="G102" i="1" s="1"/>
  <c r="H103" i="1"/>
  <c r="H102" i="1" s="1"/>
  <c r="I103" i="1"/>
  <c r="I102" i="1" s="1"/>
  <c r="L103" i="1"/>
  <c r="L102" i="1" s="1"/>
  <c r="M103" i="1"/>
  <c r="M102" i="1" s="1"/>
  <c r="N103" i="1"/>
  <c r="O103" i="1"/>
  <c r="O102" i="1" s="1"/>
  <c r="P103" i="1"/>
  <c r="P102" i="1" s="1"/>
  <c r="Q103" i="1"/>
  <c r="Q102" i="1" s="1"/>
  <c r="R103" i="1"/>
  <c r="R102" i="1" s="1"/>
  <c r="U103" i="1"/>
  <c r="V103" i="1"/>
  <c r="W103" i="1"/>
  <c r="X103" i="1"/>
  <c r="X102" i="1" s="1"/>
  <c r="Z103" i="1"/>
  <c r="Z102" i="1" s="1"/>
  <c r="AA103" i="1"/>
  <c r="AB103" i="1"/>
  <c r="AC103" i="1"/>
  <c r="AD103" i="1"/>
  <c r="AD102" i="1" s="1"/>
  <c r="AF103" i="1"/>
  <c r="AF102" i="1" s="1"/>
  <c r="C103" i="1"/>
  <c r="C102" i="1" s="1"/>
  <c r="C100" i="1"/>
  <c r="C101" i="1" s="1"/>
  <c r="C97" i="1"/>
  <c r="C96" i="1"/>
  <c r="C95" i="1"/>
  <c r="BW17" i="2"/>
  <c r="BV17" i="2"/>
  <c r="W90" i="2"/>
  <c r="X90" i="2"/>
  <c r="Y90" i="2"/>
  <c r="AA90" i="2"/>
  <c r="AB90" i="2"/>
  <c r="AC90" i="2"/>
  <c r="W92" i="2"/>
  <c r="X92" i="2"/>
  <c r="Y92" i="2"/>
  <c r="AA92" i="2"/>
  <c r="AB92" i="2"/>
  <c r="AC92" i="2"/>
  <c r="W95" i="2"/>
  <c r="X95" i="2"/>
  <c r="Y95" i="2"/>
  <c r="AA95" i="2"/>
  <c r="AB95" i="2"/>
  <c r="AC95" i="2"/>
  <c r="W96" i="2"/>
  <c r="X96" i="2"/>
  <c r="Y96" i="2"/>
  <c r="AA96" i="2"/>
  <c r="AB96" i="2"/>
  <c r="AC96" i="2"/>
  <c r="W97" i="2"/>
  <c r="X97" i="2"/>
  <c r="Y97" i="2"/>
  <c r="AA97" i="2"/>
  <c r="AB97" i="2"/>
  <c r="AC97" i="2"/>
  <c r="W100" i="2"/>
  <c r="W101" i="2" s="1"/>
  <c r="X100" i="2"/>
  <c r="X101" i="2" s="1"/>
  <c r="Y100" i="2"/>
  <c r="Y101" i="2" s="1"/>
  <c r="AA100" i="2"/>
  <c r="AA101" i="2" s="1"/>
  <c r="AB100" i="2"/>
  <c r="AB101" i="2" s="1"/>
  <c r="AC100" i="2"/>
  <c r="AC101" i="2" s="1"/>
  <c r="W103" i="2"/>
  <c r="X103" i="2"/>
  <c r="X102" i="2" s="1"/>
  <c r="Y103" i="2"/>
  <c r="Y102" i="2" s="1"/>
  <c r="AA103" i="2"/>
  <c r="AA102" i="2" s="1"/>
  <c r="AB103" i="2"/>
  <c r="AB102" i="2" s="1"/>
  <c r="AC103" i="2"/>
  <c r="AC102" i="2" s="1"/>
  <c r="BT47" i="1" l="1"/>
  <c r="BK47" i="1"/>
  <c r="BC47" i="1"/>
  <c r="BP47" i="1"/>
  <c r="BT47" i="2"/>
  <c r="BU47" i="2"/>
  <c r="BI47" i="2"/>
  <c r="BP47" i="2"/>
  <c r="BR118" i="2"/>
  <c r="CA118" i="2"/>
  <c r="BS47" i="2"/>
  <c r="BT23" i="2"/>
  <c r="BG118" i="2"/>
  <c r="BX118" i="2"/>
  <c r="BK118" i="2"/>
  <c r="BL118" i="2"/>
  <c r="BY118" i="2"/>
  <c r="BP23" i="2"/>
  <c r="BI23" i="2"/>
  <c r="BM23" i="2"/>
  <c r="BS23" i="2"/>
  <c r="BU23" i="2"/>
  <c r="BH118" i="2"/>
  <c r="BO118" i="2"/>
  <c r="AN91" i="2"/>
  <c r="AM91" i="2"/>
  <c r="AY91" i="1"/>
  <c r="AX91" i="1"/>
  <c r="V102" i="1"/>
  <c r="AB102" i="1"/>
  <c r="W102" i="2"/>
  <c r="AA83" i="2"/>
  <c r="AB83" i="2"/>
  <c r="AC83" i="2"/>
  <c r="AC91" i="2" s="1"/>
  <c r="X83" i="2"/>
  <c r="X91" i="2" s="1"/>
  <c r="Y83" i="2"/>
  <c r="W83" i="2"/>
  <c r="AD5" i="2"/>
  <c r="AD6" i="2"/>
  <c r="AD7" i="2"/>
  <c r="AD8" i="2"/>
  <c r="AD9" i="2"/>
  <c r="AD10" i="2"/>
  <c r="AD11" i="2"/>
  <c r="AD12" i="2"/>
  <c r="AD13" i="2"/>
  <c r="AD14" i="2"/>
  <c r="AD15" i="2"/>
  <c r="AD16" i="2"/>
  <c r="AD17" i="2"/>
  <c r="AD18" i="2"/>
  <c r="AD19" i="2"/>
  <c r="AD20" i="2"/>
  <c r="AD21" i="2"/>
  <c r="AD22" i="2"/>
  <c r="AD24" i="2"/>
  <c r="AD25" i="2"/>
  <c r="AD26" i="2"/>
  <c r="AD27" i="2"/>
  <c r="AD29" i="2"/>
  <c r="AD30" i="2"/>
  <c r="AD31" i="2"/>
  <c r="AD32" i="2"/>
  <c r="AD33" i="2"/>
  <c r="AD34" i="2"/>
  <c r="AD35" i="2"/>
  <c r="AD37" i="2"/>
  <c r="AD38" i="2"/>
  <c r="AD39" i="2"/>
  <c r="AD40" i="2"/>
  <c r="AD41" i="2"/>
  <c r="AD42" i="2"/>
  <c r="AD43" i="2"/>
  <c r="AD44" i="2"/>
  <c r="AD45" i="2"/>
  <c r="AD46" i="2"/>
  <c r="AD48" i="2"/>
  <c r="AD49" i="2"/>
  <c r="AD50" i="2"/>
  <c r="AD51" i="2"/>
  <c r="AD52" i="2"/>
  <c r="AD53" i="2"/>
  <c r="AD54" i="2"/>
  <c r="AD55" i="2"/>
  <c r="AD56" i="2"/>
  <c r="AD57" i="2"/>
  <c r="AD58" i="2"/>
  <c r="AD59" i="2"/>
  <c r="AD60" i="2"/>
  <c r="AD62" i="2"/>
  <c r="AD63" i="2"/>
  <c r="AD64" i="2"/>
  <c r="AD65" i="2"/>
  <c r="AD66" i="2"/>
  <c r="AD67" i="2"/>
  <c r="AD68" i="2"/>
  <c r="AD69" i="2"/>
  <c r="AD70" i="2"/>
  <c r="AD71" i="2"/>
  <c r="AD72" i="2"/>
  <c r="AD73" i="2"/>
  <c r="AD74" i="2"/>
  <c r="AD75" i="2"/>
  <c r="AD76" i="2"/>
  <c r="AD77" i="2"/>
  <c r="AD78" i="2"/>
  <c r="AD79" i="2"/>
  <c r="AD80" i="2"/>
  <c r="AD81" i="2"/>
  <c r="AD82" i="2"/>
  <c r="AD4" i="2"/>
  <c r="AD113" i="2" s="1"/>
  <c r="Z5" i="2"/>
  <c r="Z6" i="2"/>
  <c r="Z7" i="2"/>
  <c r="Z8" i="2"/>
  <c r="Z9" i="2"/>
  <c r="Z10" i="2"/>
  <c r="Z11" i="2"/>
  <c r="Z12" i="2"/>
  <c r="Z13" i="2"/>
  <c r="Z14" i="2"/>
  <c r="Z15" i="2"/>
  <c r="Z16" i="2"/>
  <c r="Z17" i="2"/>
  <c r="Z18" i="2"/>
  <c r="Z19" i="2"/>
  <c r="Z20" i="2"/>
  <c r="Z21" i="2"/>
  <c r="Z22" i="2"/>
  <c r="Z24" i="2"/>
  <c r="Z25" i="2"/>
  <c r="Z26" i="2"/>
  <c r="Z27" i="2"/>
  <c r="Z29" i="2"/>
  <c r="Z30" i="2"/>
  <c r="Z31" i="2"/>
  <c r="Z32" i="2"/>
  <c r="Z33" i="2"/>
  <c r="Z34" i="2"/>
  <c r="Z35" i="2"/>
  <c r="Z37" i="2"/>
  <c r="Z38" i="2"/>
  <c r="Z39" i="2"/>
  <c r="Z40" i="2"/>
  <c r="Z41" i="2"/>
  <c r="Z42" i="2"/>
  <c r="Z43" i="2"/>
  <c r="Z44" i="2"/>
  <c r="Z45" i="2"/>
  <c r="Z46" i="2"/>
  <c r="Z48" i="2"/>
  <c r="Z49" i="2"/>
  <c r="Z50" i="2"/>
  <c r="Z51" i="2"/>
  <c r="Z52" i="2"/>
  <c r="Z53" i="2"/>
  <c r="Z54" i="2"/>
  <c r="Z55" i="2"/>
  <c r="Z56" i="2"/>
  <c r="Z57" i="2"/>
  <c r="Z58" i="2"/>
  <c r="Z59" i="2"/>
  <c r="Z60" i="2"/>
  <c r="Z62" i="2"/>
  <c r="Z63" i="2"/>
  <c r="Z64" i="2"/>
  <c r="Z65" i="2"/>
  <c r="Z66" i="2"/>
  <c r="Z67" i="2"/>
  <c r="Z68" i="2"/>
  <c r="Z69" i="2"/>
  <c r="Z70" i="2"/>
  <c r="Z71" i="2"/>
  <c r="Z72" i="2"/>
  <c r="Z73" i="2"/>
  <c r="Z74" i="2"/>
  <c r="Z75" i="2"/>
  <c r="Z76" i="2"/>
  <c r="Z77" i="2"/>
  <c r="Z78" i="2"/>
  <c r="Z79" i="2"/>
  <c r="Z80" i="2"/>
  <c r="Z81" i="2"/>
  <c r="Z82" i="2"/>
  <c r="Z4" i="2"/>
  <c r="D100" i="2"/>
  <c r="D101" i="2" s="1"/>
  <c r="E100" i="2"/>
  <c r="E101" i="2" s="1"/>
  <c r="F100" i="2"/>
  <c r="F101" i="2" s="1"/>
  <c r="G100" i="2"/>
  <c r="G101" i="2" s="1"/>
  <c r="H100" i="2"/>
  <c r="I100" i="2"/>
  <c r="I101" i="2" s="1"/>
  <c r="J100" i="2"/>
  <c r="J101" i="2" s="1"/>
  <c r="K100" i="2"/>
  <c r="K101" i="2" s="1"/>
  <c r="M100" i="2"/>
  <c r="M101" i="2" s="1"/>
  <c r="N100" i="2"/>
  <c r="N101" i="2" s="1"/>
  <c r="O100" i="2"/>
  <c r="O101" i="2" s="1"/>
  <c r="P100" i="2"/>
  <c r="P101" i="2" s="1"/>
  <c r="Q100" i="2"/>
  <c r="Q101" i="2" s="1"/>
  <c r="R100" i="2"/>
  <c r="R101" i="2" s="1"/>
  <c r="S100" i="2"/>
  <c r="S101" i="2" s="1"/>
  <c r="T100" i="2"/>
  <c r="T101" i="2" s="1"/>
  <c r="U100" i="2"/>
  <c r="U101" i="2" s="1"/>
  <c r="D103" i="2"/>
  <c r="D102" i="2" s="1"/>
  <c r="E103" i="2"/>
  <c r="E102" i="2" s="1"/>
  <c r="F103" i="2"/>
  <c r="F102" i="2" s="1"/>
  <c r="G103" i="2"/>
  <c r="G102" i="2" s="1"/>
  <c r="H103" i="2"/>
  <c r="H102" i="2" s="1"/>
  <c r="I103" i="2"/>
  <c r="I102" i="2" s="1"/>
  <c r="J103" i="2"/>
  <c r="J102" i="2" s="1"/>
  <c r="K103" i="2"/>
  <c r="K102" i="2" s="1"/>
  <c r="M103" i="2"/>
  <c r="M102" i="2" s="1"/>
  <c r="N103" i="2"/>
  <c r="N102" i="2" s="1"/>
  <c r="O103" i="2"/>
  <c r="O102" i="2" s="1"/>
  <c r="P103" i="2"/>
  <c r="P102" i="2" s="1"/>
  <c r="Q103" i="2"/>
  <c r="Q102" i="2" s="1"/>
  <c r="R103" i="2"/>
  <c r="R102" i="2" s="1"/>
  <c r="S103" i="2"/>
  <c r="S102" i="2" s="1"/>
  <c r="T103" i="2"/>
  <c r="T102" i="2" s="1"/>
  <c r="U103" i="2"/>
  <c r="C103" i="2"/>
  <c r="C102" i="2" s="1"/>
  <c r="C100" i="2"/>
  <c r="C101" i="2" s="1"/>
  <c r="D95" i="2"/>
  <c r="E95" i="2"/>
  <c r="F95" i="2"/>
  <c r="G95" i="2"/>
  <c r="H95" i="2"/>
  <c r="I95" i="2"/>
  <c r="J95" i="2"/>
  <c r="K95" i="2"/>
  <c r="M95" i="2"/>
  <c r="N95" i="2"/>
  <c r="O95" i="2"/>
  <c r="P95" i="2"/>
  <c r="Q95" i="2"/>
  <c r="R95" i="2"/>
  <c r="S95" i="2"/>
  <c r="T95" i="2"/>
  <c r="U95" i="2"/>
  <c r="D96" i="2"/>
  <c r="E96" i="2"/>
  <c r="F96" i="2"/>
  <c r="G96" i="2"/>
  <c r="H96" i="2"/>
  <c r="I96" i="2"/>
  <c r="J96" i="2"/>
  <c r="K96" i="2"/>
  <c r="M96" i="2"/>
  <c r="N96" i="2"/>
  <c r="O96" i="2"/>
  <c r="P96" i="2"/>
  <c r="Q96" i="2"/>
  <c r="R96" i="2"/>
  <c r="S96" i="2"/>
  <c r="T96" i="2"/>
  <c r="U96" i="2"/>
  <c r="D97" i="2"/>
  <c r="E97" i="2"/>
  <c r="F97" i="2"/>
  <c r="G97" i="2"/>
  <c r="H97" i="2"/>
  <c r="I97" i="2"/>
  <c r="J97" i="2"/>
  <c r="K97" i="2"/>
  <c r="M97" i="2"/>
  <c r="N97" i="2"/>
  <c r="O97" i="2"/>
  <c r="P97" i="2"/>
  <c r="Q97" i="2"/>
  <c r="R97" i="2"/>
  <c r="S97" i="2"/>
  <c r="T97" i="2"/>
  <c r="U97" i="2"/>
  <c r="C96" i="2"/>
  <c r="C97" i="2"/>
  <c r="C95" i="2"/>
  <c r="D90" i="1"/>
  <c r="F90" i="1"/>
  <c r="G90" i="1"/>
  <c r="H90" i="1"/>
  <c r="I90" i="1"/>
  <c r="L90" i="1"/>
  <c r="M90" i="1"/>
  <c r="O90" i="1"/>
  <c r="P90" i="1"/>
  <c r="Q90" i="1"/>
  <c r="R90" i="1"/>
  <c r="V90" i="1"/>
  <c r="X90" i="1"/>
  <c r="Z90" i="1"/>
  <c r="AB90" i="1"/>
  <c r="AD90" i="1"/>
  <c r="AF90" i="1"/>
  <c r="D92" i="1"/>
  <c r="E92" i="1"/>
  <c r="F92" i="1"/>
  <c r="G92" i="1"/>
  <c r="H92" i="1"/>
  <c r="I92" i="1"/>
  <c r="L92" i="1"/>
  <c r="M92" i="1"/>
  <c r="N92" i="1"/>
  <c r="O92" i="1"/>
  <c r="P92" i="1"/>
  <c r="Q92" i="1"/>
  <c r="R92" i="1"/>
  <c r="V92" i="1"/>
  <c r="W92" i="1"/>
  <c r="X92" i="1"/>
  <c r="Z92" i="1"/>
  <c r="AB92" i="1"/>
  <c r="AC92" i="1"/>
  <c r="AD92" i="1"/>
  <c r="AF92" i="1"/>
  <c r="C92" i="1"/>
  <c r="C90" i="1"/>
  <c r="D90" i="2"/>
  <c r="E90" i="2"/>
  <c r="F90" i="2"/>
  <c r="G90" i="2"/>
  <c r="H90" i="2"/>
  <c r="I90" i="2"/>
  <c r="J90" i="2"/>
  <c r="K90" i="2"/>
  <c r="M90" i="2"/>
  <c r="N90" i="2"/>
  <c r="O90" i="2"/>
  <c r="P90" i="2"/>
  <c r="Q90" i="2"/>
  <c r="R90" i="2"/>
  <c r="S90" i="2"/>
  <c r="T90" i="2"/>
  <c r="U90" i="2"/>
  <c r="D92" i="2"/>
  <c r="E92" i="2"/>
  <c r="F92" i="2"/>
  <c r="G92" i="2"/>
  <c r="H92" i="2"/>
  <c r="I92" i="2"/>
  <c r="J92" i="2"/>
  <c r="K92" i="2"/>
  <c r="M92" i="2"/>
  <c r="N92" i="2"/>
  <c r="O92" i="2"/>
  <c r="P92" i="2"/>
  <c r="Q92" i="2"/>
  <c r="R92" i="2"/>
  <c r="S92" i="2"/>
  <c r="T92" i="2"/>
  <c r="U92" i="2"/>
  <c r="C92" i="2"/>
  <c r="C90" i="2"/>
  <c r="S7" i="1"/>
  <c r="T7" i="1" s="1"/>
  <c r="S8" i="1"/>
  <c r="T8" i="1" s="1"/>
  <c r="S9" i="1"/>
  <c r="S10" i="1"/>
  <c r="S12" i="1"/>
  <c r="S13" i="1"/>
  <c r="T13" i="1" s="1"/>
  <c r="S14" i="1"/>
  <c r="T14" i="1" s="1"/>
  <c r="S15" i="1"/>
  <c r="T15" i="1" s="1"/>
  <c r="S16" i="1"/>
  <c r="T16" i="1" s="1"/>
  <c r="S17" i="1"/>
  <c r="S19" i="1"/>
  <c r="T19" i="1" s="1"/>
  <c r="S20" i="1"/>
  <c r="T20" i="1" s="1"/>
  <c r="S21" i="1"/>
  <c r="T21" i="1" s="1"/>
  <c r="S22" i="1"/>
  <c r="T22" i="1" s="1"/>
  <c r="S23" i="1"/>
  <c r="T23" i="1" s="1"/>
  <c r="S24" i="1"/>
  <c r="T24" i="1" s="1"/>
  <c r="S25" i="1"/>
  <c r="T25" i="1" s="1"/>
  <c r="S26" i="1"/>
  <c r="T26" i="1" s="1"/>
  <c r="S27" i="1"/>
  <c r="T27" i="1" s="1"/>
  <c r="S29" i="1"/>
  <c r="T29" i="1" s="1"/>
  <c r="S30" i="1"/>
  <c r="T30" i="1" s="1"/>
  <c r="S34" i="1"/>
  <c r="T34" i="1" s="1"/>
  <c r="S35" i="1"/>
  <c r="T35" i="1" s="1"/>
  <c r="S37" i="1"/>
  <c r="T37" i="1" s="1"/>
  <c r="S38" i="1"/>
  <c r="T38" i="1" s="1"/>
  <c r="S40" i="1"/>
  <c r="S41" i="1"/>
  <c r="T41" i="1" s="1"/>
  <c r="S44" i="1"/>
  <c r="T44" i="1" s="1"/>
  <c r="S46" i="1"/>
  <c r="T46" i="1" s="1"/>
  <c r="S48" i="1"/>
  <c r="T48" i="1" s="1"/>
  <c r="S52" i="1"/>
  <c r="T52" i="1" s="1"/>
  <c r="S53" i="1"/>
  <c r="T53" i="1" s="1"/>
  <c r="S56" i="1"/>
  <c r="T56" i="1" s="1"/>
  <c r="S57" i="1"/>
  <c r="T57" i="1" s="1"/>
  <c r="S59" i="1"/>
  <c r="T59" i="1" s="1"/>
  <c r="S60" i="1"/>
  <c r="T60" i="1" s="1"/>
  <c r="S64" i="1"/>
  <c r="T64" i="1" s="1"/>
  <c r="S65" i="1"/>
  <c r="T65" i="1" s="1"/>
  <c r="S68" i="1"/>
  <c r="T68" i="1" s="1"/>
  <c r="S69" i="1"/>
  <c r="T69" i="1" s="1"/>
  <c r="S70" i="1"/>
  <c r="T70" i="1" s="1"/>
  <c r="S71" i="1"/>
  <c r="T71" i="1" s="1"/>
  <c r="S72" i="1"/>
  <c r="T72" i="1" s="1"/>
  <c r="S73" i="1"/>
  <c r="T73" i="1" s="1"/>
  <c r="S74" i="1"/>
  <c r="T74" i="1" s="1"/>
  <c r="S75" i="1"/>
  <c r="T75" i="1" s="1"/>
  <c r="S76" i="1"/>
  <c r="T76" i="1" s="1"/>
  <c r="S77" i="1"/>
  <c r="T77" i="1" s="1"/>
  <c r="S78" i="1"/>
  <c r="T78" i="1" s="1"/>
  <c r="S79" i="1"/>
  <c r="T79" i="1" s="1"/>
  <c r="S80" i="1"/>
  <c r="T80" i="1" s="1"/>
  <c r="S82" i="1"/>
  <c r="T82" i="1" s="1"/>
  <c r="J7" i="1"/>
  <c r="K7" i="1" s="1"/>
  <c r="J8" i="1"/>
  <c r="K8" i="1" s="1"/>
  <c r="J9" i="1"/>
  <c r="J10" i="1"/>
  <c r="J12" i="1"/>
  <c r="J13" i="1"/>
  <c r="K13" i="1" s="1"/>
  <c r="J14" i="1"/>
  <c r="K14" i="1" s="1"/>
  <c r="J15" i="1"/>
  <c r="K15" i="1" s="1"/>
  <c r="J16" i="1"/>
  <c r="K16" i="1" s="1"/>
  <c r="J17" i="1"/>
  <c r="J19" i="1"/>
  <c r="K19" i="1" s="1"/>
  <c r="J20" i="1"/>
  <c r="K20" i="1" s="1"/>
  <c r="J21" i="1"/>
  <c r="K21" i="1" s="1"/>
  <c r="J22" i="1"/>
  <c r="K22" i="1" s="1"/>
  <c r="J23" i="1"/>
  <c r="K23" i="1" s="1"/>
  <c r="J24" i="1"/>
  <c r="K24" i="1" s="1"/>
  <c r="J25" i="1"/>
  <c r="K25" i="1" s="1"/>
  <c r="J26" i="1"/>
  <c r="K26" i="1" s="1"/>
  <c r="J27" i="1"/>
  <c r="K27" i="1" s="1"/>
  <c r="J30" i="1"/>
  <c r="K30" i="1" s="1"/>
  <c r="J34" i="1"/>
  <c r="K34" i="1" s="1"/>
  <c r="J35" i="1"/>
  <c r="K35" i="1" s="1"/>
  <c r="J38" i="1"/>
  <c r="K38" i="1" s="1"/>
  <c r="J40" i="1"/>
  <c r="J44" i="1"/>
  <c r="J46" i="1"/>
  <c r="K46" i="1" s="1"/>
  <c r="J48" i="1"/>
  <c r="K48" i="1" s="1"/>
  <c r="J53" i="1"/>
  <c r="K53" i="1" s="1"/>
  <c r="J57" i="1"/>
  <c r="K57" i="1" s="1"/>
  <c r="J59" i="1"/>
  <c r="K59" i="1" s="1"/>
  <c r="J60" i="1"/>
  <c r="K60" i="1" s="1"/>
  <c r="J64" i="1"/>
  <c r="K64" i="1" s="1"/>
  <c r="J65" i="1"/>
  <c r="K65" i="1" s="1"/>
  <c r="J68" i="1"/>
  <c r="K68" i="1" s="1"/>
  <c r="J69" i="1"/>
  <c r="K69" i="1" s="1"/>
  <c r="J70" i="1"/>
  <c r="K70" i="1" s="1"/>
  <c r="J72" i="1"/>
  <c r="K72" i="1" s="1"/>
  <c r="J73" i="1"/>
  <c r="K73" i="1" s="1"/>
  <c r="J74" i="1"/>
  <c r="K74" i="1" s="1"/>
  <c r="J75" i="1"/>
  <c r="K75" i="1" s="1"/>
  <c r="J76" i="1"/>
  <c r="K76" i="1" s="1"/>
  <c r="J77" i="1"/>
  <c r="K77" i="1" s="1"/>
  <c r="J78" i="1"/>
  <c r="K78" i="1" s="1"/>
  <c r="J80" i="1"/>
  <c r="K80" i="1" s="1"/>
  <c r="V5" i="2"/>
  <c r="V6" i="2"/>
  <c r="V7" i="2"/>
  <c r="V8" i="2"/>
  <c r="V9" i="2"/>
  <c r="V10" i="2"/>
  <c r="V11" i="2"/>
  <c r="V12" i="2"/>
  <c r="V13" i="2"/>
  <c r="V14" i="2"/>
  <c r="V15" i="2"/>
  <c r="V16" i="2"/>
  <c r="V18" i="2"/>
  <c r="V19" i="2"/>
  <c r="V20" i="2"/>
  <c r="V21" i="2"/>
  <c r="V22" i="2"/>
  <c r="V24" i="2"/>
  <c r="V25" i="2"/>
  <c r="V26" i="2"/>
  <c r="V27" i="2"/>
  <c r="V29" i="2"/>
  <c r="V30" i="2"/>
  <c r="V31" i="2"/>
  <c r="V32" i="2"/>
  <c r="V33" i="2"/>
  <c r="V34" i="2"/>
  <c r="V35" i="2"/>
  <c r="V37" i="2"/>
  <c r="V38" i="2"/>
  <c r="V39" i="2"/>
  <c r="V40" i="2"/>
  <c r="V41" i="2"/>
  <c r="V42" i="2"/>
  <c r="V43" i="2"/>
  <c r="V44" i="2"/>
  <c r="V45" i="2"/>
  <c r="V46" i="2"/>
  <c r="V48" i="2"/>
  <c r="V49" i="2"/>
  <c r="V50" i="2"/>
  <c r="V51" i="2"/>
  <c r="V52" i="2"/>
  <c r="V53" i="2"/>
  <c r="V54" i="2"/>
  <c r="V55" i="2"/>
  <c r="V56" i="2"/>
  <c r="V57" i="2"/>
  <c r="V58" i="2"/>
  <c r="V59" i="2"/>
  <c r="V60" i="2"/>
  <c r="V62" i="2"/>
  <c r="V63" i="2"/>
  <c r="V64" i="2"/>
  <c r="V65" i="2"/>
  <c r="V66" i="2"/>
  <c r="V67" i="2"/>
  <c r="V68" i="2"/>
  <c r="V69" i="2"/>
  <c r="V70" i="2"/>
  <c r="V71" i="2"/>
  <c r="V72" i="2"/>
  <c r="V73" i="2"/>
  <c r="V74" i="2"/>
  <c r="V75" i="2"/>
  <c r="V76" i="2"/>
  <c r="V77" i="2"/>
  <c r="V78" i="2"/>
  <c r="V79" i="2"/>
  <c r="V80" i="2"/>
  <c r="V81" i="2"/>
  <c r="V82" i="2"/>
  <c r="V4" i="2"/>
  <c r="V113" i="2" s="1"/>
  <c r="L5" i="2"/>
  <c r="L6" i="2"/>
  <c r="L7" i="2"/>
  <c r="L8" i="2"/>
  <c r="L9" i="2"/>
  <c r="L10" i="2"/>
  <c r="L11" i="2"/>
  <c r="L12" i="2"/>
  <c r="L13" i="2"/>
  <c r="L14" i="2"/>
  <c r="L15" i="2"/>
  <c r="L16" i="2"/>
  <c r="L18" i="2"/>
  <c r="L19" i="2"/>
  <c r="L20" i="2"/>
  <c r="L21" i="2"/>
  <c r="L22" i="2"/>
  <c r="L24" i="2"/>
  <c r="L25" i="2"/>
  <c r="L26" i="2"/>
  <c r="L27" i="2"/>
  <c r="L29" i="2"/>
  <c r="L30" i="2"/>
  <c r="L31" i="2"/>
  <c r="L32" i="2"/>
  <c r="L33" i="2"/>
  <c r="L34" i="2"/>
  <c r="L35" i="2"/>
  <c r="L37" i="2"/>
  <c r="L38" i="2"/>
  <c r="L39" i="2"/>
  <c r="L40" i="2"/>
  <c r="L41" i="2"/>
  <c r="L42" i="2"/>
  <c r="L43" i="2"/>
  <c r="L44" i="2"/>
  <c r="L45" i="2"/>
  <c r="L46" i="2"/>
  <c r="L48" i="2"/>
  <c r="L49" i="2"/>
  <c r="L50" i="2"/>
  <c r="L51" i="2"/>
  <c r="L52" i="2"/>
  <c r="L53" i="2"/>
  <c r="L54" i="2"/>
  <c r="L55" i="2"/>
  <c r="L56" i="2"/>
  <c r="L57" i="2"/>
  <c r="L58" i="2"/>
  <c r="L59" i="2"/>
  <c r="L60" i="2"/>
  <c r="L62" i="2"/>
  <c r="L63" i="2"/>
  <c r="L64" i="2"/>
  <c r="L65" i="2"/>
  <c r="L66" i="2"/>
  <c r="L67" i="2"/>
  <c r="L68" i="2"/>
  <c r="L69" i="2"/>
  <c r="L70" i="2"/>
  <c r="L71" i="2"/>
  <c r="L72" i="2"/>
  <c r="L73" i="2"/>
  <c r="L74" i="2"/>
  <c r="L75" i="2"/>
  <c r="L76" i="2"/>
  <c r="L77" i="2"/>
  <c r="L78" i="2"/>
  <c r="L79" i="2"/>
  <c r="L80" i="2"/>
  <c r="L81" i="2"/>
  <c r="L82" i="2"/>
  <c r="L4" i="2"/>
  <c r="L113" i="2" s="1"/>
  <c r="Z117" i="2" l="1"/>
  <c r="AD116" i="2"/>
  <c r="AD114" i="2"/>
  <c r="AD117" i="2"/>
  <c r="Z116" i="2"/>
  <c r="Z113" i="2"/>
  <c r="V116" i="2"/>
  <c r="V114" i="2"/>
  <c r="V117" i="2"/>
  <c r="V115" i="2"/>
  <c r="L115" i="2"/>
  <c r="AD115" i="2"/>
  <c r="L116" i="2"/>
  <c r="L114" i="2"/>
  <c r="L117" i="2"/>
  <c r="Z114" i="2"/>
  <c r="Z115" i="2"/>
  <c r="L83" i="2"/>
  <c r="V83" i="2"/>
  <c r="BV74" i="2"/>
  <c r="BV60" i="2"/>
  <c r="BV46" i="2"/>
  <c r="BW4" i="2"/>
  <c r="BW69" i="2"/>
  <c r="BW41" i="2"/>
  <c r="BW27" i="2"/>
  <c r="BW12" i="2"/>
  <c r="BW60" i="2"/>
  <c r="BW44" i="2"/>
  <c r="BV16" i="2"/>
  <c r="BV65" i="2"/>
  <c r="BW46" i="2"/>
  <c r="BV7" i="2"/>
  <c r="BW59" i="2"/>
  <c r="BV77" i="2"/>
  <c r="BV21" i="2"/>
  <c r="BW72" i="2"/>
  <c r="BW15" i="2"/>
  <c r="BV48" i="2"/>
  <c r="BW57" i="2"/>
  <c r="BW56" i="2"/>
  <c r="BV73" i="2"/>
  <c r="BV72" i="2"/>
  <c r="BV44" i="2"/>
  <c r="BV30" i="2"/>
  <c r="BV15" i="2"/>
  <c r="BW53" i="2"/>
  <c r="BW25" i="2"/>
  <c r="BW10" i="2"/>
  <c r="BW74" i="2"/>
  <c r="BV78" i="2"/>
  <c r="BV34" i="2"/>
  <c r="BW29" i="2"/>
  <c r="BV75" i="2"/>
  <c r="BV19" i="2"/>
  <c r="BW13" i="2"/>
  <c r="BV59" i="2"/>
  <c r="BW82" i="2"/>
  <c r="BW68" i="2"/>
  <c r="BW40" i="2"/>
  <c r="BW26" i="2"/>
  <c r="BV57" i="2"/>
  <c r="BV14" i="2"/>
  <c r="BW80" i="2"/>
  <c r="BW52" i="2"/>
  <c r="BW38" i="2"/>
  <c r="BW24" i="2"/>
  <c r="BW9" i="2"/>
  <c r="BV13" i="2"/>
  <c r="BW71" i="2"/>
  <c r="BW14" i="2"/>
  <c r="BW70" i="2"/>
  <c r="BV69" i="2"/>
  <c r="BV27" i="2"/>
  <c r="BW78" i="2"/>
  <c r="BW22" i="2"/>
  <c r="BV64" i="2"/>
  <c r="BV22" i="2"/>
  <c r="BW73" i="2"/>
  <c r="BW16" i="2"/>
  <c r="BV35" i="2"/>
  <c r="BW30" i="2"/>
  <c r="BV20" i="2"/>
  <c r="BV70" i="2"/>
  <c r="BW79" i="2"/>
  <c r="BW65" i="2"/>
  <c r="BW37" i="2"/>
  <c r="BW8" i="2"/>
  <c r="BV4" i="2"/>
  <c r="BV12" i="2"/>
  <c r="BW64" i="2"/>
  <c r="BW7" i="2"/>
  <c r="BV68" i="2"/>
  <c r="BV40" i="2"/>
  <c r="BV26" i="2"/>
  <c r="BW77" i="2"/>
  <c r="BW35" i="2"/>
  <c r="BW21" i="2"/>
  <c r="BV8" i="2"/>
  <c r="BV53" i="2"/>
  <c r="BW20" i="2"/>
  <c r="BV76" i="2"/>
  <c r="BV25" i="2"/>
  <c r="BV10" i="2"/>
  <c r="BW76" i="2"/>
  <c r="BW48" i="2"/>
  <c r="BW34" i="2"/>
  <c r="BV80" i="2"/>
  <c r="BV38" i="2"/>
  <c r="BV24" i="2"/>
  <c r="BV9" i="2"/>
  <c r="BW75" i="2"/>
  <c r="BW19" i="2"/>
  <c r="W84" i="2"/>
  <c r="AD92" i="2"/>
  <c r="AD103" i="2"/>
  <c r="AD102" i="2" s="1"/>
  <c r="AA91" i="2"/>
  <c r="AD97" i="2"/>
  <c r="T12" i="1"/>
  <c r="Z100" i="2"/>
  <c r="Z101" i="2" s="1"/>
  <c r="Z90" i="2"/>
  <c r="Z95" i="2"/>
  <c r="T10" i="1"/>
  <c r="Z103" i="2"/>
  <c r="Z102" i="2" s="1"/>
  <c r="K12" i="1"/>
  <c r="Z92" i="2"/>
  <c r="C84" i="2"/>
  <c r="D84" i="2"/>
  <c r="F84" i="2"/>
  <c r="G84" i="2"/>
  <c r="K84" i="2"/>
  <c r="E84" i="2"/>
  <c r="J84" i="2"/>
  <c r="I84" i="2"/>
  <c r="L84" i="2"/>
  <c r="K10" i="1"/>
  <c r="Z97" i="2"/>
  <c r="AD96" i="2"/>
  <c r="Y91" i="2"/>
  <c r="Y84" i="2"/>
  <c r="H84" i="2"/>
  <c r="X84" i="2"/>
  <c r="Z96" i="2"/>
  <c r="W91" i="2"/>
  <c r="AD90" i="2"/>
  <c r="AD100" i="2"/>
  <c r="AD101" i="2" s="1"/>
  <c r="AD95" i="2"/>
  <c r="AB91" i="2"/>
  <c r="Z83" i="2"/>
  <c r="AD83" i="2"/>
  <c r="D91" i="2"/>
  <c r="M91" i="2"/>
  <c r="L90" i="2"/>
  <c r="N91" i="2"/>
  <c r="R91" i="2"/>
  <c r="E91" i="2"/>
  <c r="G91" i="2"/>
  <c r="U91" i="2"/>
  <c r="O91" i="2"/>
  <c r="V92" i="2"/>
  <c r="V96" i="2"/>
  <c r="L100" i="2"/>
  <c r="L96" i="2"/>
  <c r="S91" i="2"/>
  <c r="U102" i="2"/>
  <c r="L97" i="2"/>
  <c r="V95" i="2"/>
  <c r="V90" i="2"/>
  <c r="V100" i="2"/>
  <c r="V103" i="2"/>
  <c r="I91" i="2"/>
  <c r="L103" i="2"/>
  <c r="H91" i="2"/>
  <c r="L92" i="2"/>
  <c r="V97" i="2"/>
  <c r="H101" i="2"/>
  <c r="Q91" i="2"/>
  <c r="T91" i="2"/>
  <c r="F91" i="2"/>
  <c r="C91" i="2"/>
  <c r="P91" i="2"/>
  <c r="L95" i="2"/>
  <c r="K91" i="2"/>
  <c r="J91" i="2"/>
  <c r="AG113" i="2"/>
  <c r="AF113" i="2"/>
  <c r="AE113" i="2"/>
  <c r="P83" i="1"/>
  <c r="P91" i="1" s="1"/>
  <c r="G83" i="1"/>
  <c r="G91" i="1" s="1"/>
  <c r="AD83" i="1"/>
  <c r="AD91" i="1" s="1"/>
  <c r="X83" i="1"/>
  <c r="X91" i="1" s="1"/>
  <c r="V83" i="1"/>
  <c r="V91" i="1" s="1"/>
  <c r="AB83" i="1"/>
  <c r="AF83" i="1"/>
  <c r="AF91" i="1" s="1"/>
  <c r="Z83" i="1"/>
  <c r="Z91" i="1" s="1"/>
  <c r="M83" i="1"/>
  <c r="M91" i="1" s="1"/>
  <c r="O83" i="1"/>
  <c r="O91" i="1" s="1"/>
  <c r="Q83" i="1"/>
  <c r="Q91" i="1" s="1"/>
  <c r="R83" i="1"/>
  <c r="R91" i="1" s="1"/>
  <c r="L83" i="1"/>
  <c r="L91" i="1" s="1"/>
  <c r="C83" i="1"/>
  <c r="C91" i="1" s="1"/>
  <c r="D83" i="1"/>
  <c r="D91" i="1" s="1"/>
  <c r="F83" i="1"/>
  <c r="F91" i="1" s="1"/>
  <c r="H83" i="1"/>
  <c r="H91" i="1" s="1"/>
  <c r="I83" i="1"/>
  <c r="I91" i="1" s="1"/>
  <c r="U31" i="1"/>
  <c r="AA84" i="2" l="1"/>
  <c r="S84" i="2"/>
  <c r="U84" i="2"/>
  <c r="V84" i="2"/>
  <c r="O84" i="2"/>
  <c r="P84" i="2"/>
  <c r="M84" i="2"/>
  <c r="N84" i="2"/>
  <c r="Q84" i="2"/>
  <c r="AC84" i="2"/>
  <c r="T84" i="2"/>
  <c r="R84" i="2"/>
  <c r="AB84" i="2"/>
  <c r="AE117" i="2"/>
  <c r="AE115" i="2"/>
  <c r="AE114" i="2"/>
  <c r="AF116" i="2"/>
  <c r="AF117" i="2"/>
  <c r="AF115" i="2"/>
  <c r="AG116" i="2"/>
  <c r="AG114" i="2"/>
  <c r="AG117" i="2"/>
  <c r="AF114" i="2"/>
  <c r="AE116" i="2"/>
  <c r="AG115" i="2"/>
  <c r="AB91" i="1"/>
  <c r="U92" i="1"/>
  <c r="AA92" i="1"/>
  <c r="L91" i="2"/>
  <c r="AD91" i="2"/>
  <c r="AD84" i="2"/>
  <c r="Z84" i="2"/>
  <c r="Z91" i="2"/>
  <c r="V91" i="2"/>
  <c r="AF97" i="2"/>
  <c r="AE97" i="2"/>
  <c r="AF96" i="2"/>
  <c r="V101" i="2"/>
  <c r="L102" i="2"/>
  <c r="AF95" i="2"/>
  <c r="AF100" i="2"/>
  <c r="AF101" i="2" s="1"/>
  <c r="AF90" i="2"/>
  <c r="AG100" i="2"/>
  <c r="AG101" i="2" s="1"/>
  <c r="AG95" i="2"/>
  <c r="AG90" i="2"/>
  <c r="L101" i="2"/>
  <c r="AG103" i="2"/>
  <c r="AG102" i="2" s="1"/>
  <c r="AE96" i="2"/>
  <c r="AE103" i="2"/>
  <c r="AE102" i="2" s="1"/>
  <c r="V102" i="2"/>
  <c r="AG92" i="2"/>
  <c r="AF103" i="2"/>
  <c r="AF102" i="2" s="1"/>
  <c r="AF92" i="2"/>
  <c r="AE92" i="2"/>
  <c r="AE95" i="2"/>
  <c r="AE90" i="2"/>
  <c r="AE100" i="2"/>
  <c r="AE101" i="2" s="1"/>
  <c r="AG97" i="2"/>
  <c r="AG96" i="2"/>
  <c r="AI66" i="2"/>
  <c r="CA66" i="2" s="1"/>
  <c r="AI38" i="2"/>
  <c r="AH29" i="2"/>
  <c r="BZ29" i="2" s="1"/>
  <c r="AI24" i="2"/>
  <c r="AH15" i="2"/>
  <c r="AI10" i="2"/>
  <c r="AH37" i="2"/>
  <c r="BZ37" i="2" s="1"/>
  <c r="AI32" i="2"/>
  <c r="CA32" i="2" s="1"/>
  <c r="AI18" i="2"/>
  <c r="CA18" i="2" s="1"/>
  <c r="AH9" i="2"/>
  <c r="AH52" i="2"/>
  <c r="BZ52" i="2" s="1"/>
  <c r="AI64" i="2"/>
  <c r="AH55" i="2"/>
  <c r="BZ55" i="2" s="1"/>
  <c r="AH41" i="2"/>
  <c r="BZ41" i="2" s="1"/>
  <c r="AI22" i="2"/>
  <c r="AI78" i="2"/>
  <c r="AH69" i="2"/>
  <c r="AI50" i="2"/>
  <c r="AH27" i="2"/>
  <c r="AH13" i="2"/>
  <c r="AH24" i="2"/>
  <c r="AH38" i="2"/>
  <c r="AI72" i="2"/>
  <c r="AH31" i="2"/>
  <c r="BZ31" i="2" s="1"/>
  <c r="AH17" i="2"/>
  <c r="BZ17" i="2" s="1"/>
  <c r="AH62" i="2"/>
  <c r="BZ62" i="2" s="1"/>
  <c r="AH59" i="2"/>
  <c r="AH10" i="2"/>
  <c r="AH45" i="2"/>
  <c r="BZ45" i="2" s="1"/>
  <c r="AH80" i="2"/>
  <c r="AH66" i="2"/>
  <c r="BZ66" i="2" s="1"/>
  <c r="AI65" i="2"/>
  <c r="AI37" i="2"/>
  <c r="AH73" i="2"/>
  <c r="AH79" i="2"/>
  <c r="BZ79" i="2" s="1"/>
  <c r="AI74" i="2"/>
  <c r="AH65" i="2"/>
  <c r="AI60" i="2"/>
  <c r="AH51" i="2"/>
  <c r="BZ51" i="2" s="1"/>
  <c r="AI46" i="2"/>
  <c r="AI44" i="2"/>
  <c r="AI57" i="2"/>
  <c r="AH48" i="2"/>
  <c r="AI43" i="2"/>
  <c r="CA43" i="2" s="1"/>
  <c r="AH34" i="2"/>
  <c r="AI29" i="2"/>
  <c r="AH20" i="2"/>
  <c r="AI15" i="2"/>
  <c r="AH6" i="2"/>
  <c r="BZ6" i="2" s="1"/>
  <c r="AI80" i="2"/>
  <c r="AI52" i="2"/>
  <c r="AI58" i="2"/>
  <c r="CA58" i="2" s="1"/>
  <c r="AI16" i="2"/>
  <c r="AI30" i="2"/>
  <c r="AH75" i="2"/>
  <c r="AI70" i="2"/>
  <c r="AH19" i="2"/>
  <c r="AI14" i="2"/>
  <c r="AI79" i="2"/>
  <c r="AH70" i="2"/>
  <c r="AH56" i="2"/>
  <c r="BZ56" i="2" s="1"/>
  <c r="AI51" i="2"/>
  <c r="CA51" i="2" s="1"/>
  <c r="AH42" i="2"/>
  <c r="BZ42" i="2" s="1"/>
  <c r="AI9" i="2"/>
  <c r="AH4" i="2"/>
  <c r="BZ4" i="2" s="1"/>
  <c r="AH78" i="2"/>
  <c r="AI73" i="2"/>
  <c r="AH64" i="2"/>
  <c r="AI59" i="2"/>
  <c r="AH50" i="2"/>
  <c r="AI45" i="2"/>
  <c r="CA45" i="2" s="1"/>
  <c r="AI31" i="2"/>
  <c r="CA31" i="2" s="1"/>
  <c r="AH22" i="2"/>
  <c r="AI17" i="2"/>
  <c r="CA17" i="2" s="1"/>
  <c r="AI12" i="2"/>
  <c r="AI49" i="2"/>
  <c r="CA49" i="2" s="1"/>
  <c r="AI7" i="2"/>
  <c r="AH35" i="2"/>
  <c r="AH72" i="2"/>
  <c r="AH44" i="2"/>
  <c r="AH67" i="2"/>
  <c r="BZ67" i="2" s="1"/>
  <c r="AI62" i="2"/>
  <c r="CA62" i="2" s="1"/>
  <c r="AH53" i="2"/>
  <c r="AI48" i="2"/>
  <c r="AH39" i="2"/>
  <c r="BZ39" i="2" s="1"/>
  <c r="AI34" i="2"/>
  <c r="AH25" i="2"/>
  <c r="AI20" i="2"/>
  <c r="AH11" i="2"/>
  <c r="BZ11" i="2" s="1"/>
  <c r="AI6" i="2"/>
  <c r="CA6" i="2" s="1"/>
  <c r="AI77" i="2"/>
  <c r="AH63" i="2"/>
  <c r="BZ63" i="2" s="1"/>
  <c r="AH7" i="2"/>
  <c r="AI53" i="2"/>
  <c r="AH16" i="2"/>
  <c r="AH76" i="2"/>
  <c r="AH54" i="2"/>
  <c r="BZ54" i="2" s="1"/>
  <c r="AH12" i="2"/>
  <c r="AH81" i="2"/>
  <c r="BZ81" i="2" s="1"/>
  <c r="AH43" i="2"/>
  <c r="BZ43" i="2" s="1"/>
  <c r="AI82" i="2"/>
  <c r="AI54" i="2"/>
  <c r="CA54" i="2" s="1"/>
  <c r="AI40" i="2"/>
  <c r="AH21" i="2"/>
  <c r="AI81" i="2"/>
  <c r="CA81" i="2" s="1"/>
  <c r="AI39" i="2"/>
  <c r="CA39" i="2" s="1"/>
  <c r="AH30" i="2"/>
  <c r="AI11" i="2"/>
  <c r="CA11" i="2" s="1"/>
  <c r="AI71" i="2"/>
  <c r="AH57" i="2"/>
  <c r="AI75" i="2"/>
  <c r="AI33" i="2"/>
  <c r="CA33" i="2" s="1"/>
  <c r="AI19" i="2"/>
  <c r="AI5" i="2"/>
  <c r="CA5" i="2" s="1"/>
  <c r="AI68" i="2"/>
  <c r="AH68" i="2"/>
  <c r="AI35" i="2"/>
  <c r="AH49" i="2"/>
  <c r="BZ49" i="2" s="1"/>
  <c r="AH58" i="2"/>
  <c r="BZ58" i="2" s="1"/>
  <c r="AI25" i="2"/>
  <c r="AI76" i="2"/>
  <c r="AH71" i="2"/>
  <c r="BZ71" i="2" s="1"/>
  <c r="AI56" i="2"/>
  <c r="AI42" i="2"/>
  <c r="CA42" i="2" s="1"/>
  <c r="AH33" i="2"/>
  <c r="BZ33" i="2" s="1"/>
  <c r="AH5" i="2"/>
  <c r="BZ5" i="2" s="1"/>
  <c r="AI63" i="2"/>
  <c r="CA63" i="2" s="1"/>
  <c r="AI21" i="2"/>
  <c r="AH14" i="2"/>
  <c r="AH26" i="2"/>
  <c r="AI67" i="2"/>
  <c r="CA67" i="2" s="1"/>
  <c r="AI26" i="2"/>
  <c r="AH40" i="2"/>
  <c r="AH77" i="2"/>
  <c r="AI4" i="2"/>
  <c r="CA4" i="2" s="1"/>
  <c r="AH74" i="2"/>
  <c r="AI69" i="2"/>
  <c r="AH60" i="2"/>
  <c r="AI55" i="2"/>
  <c r="CA55" i="2" s="1"/>
  <c r="AH46" i="2"/>
  <c r="AI41" i="2"/>
  <c r="AH32" i="2"/>
  <c r="BZ32" i="2" s="1"/>
  <c r="AI27" i="2"/>
  <c r="AH18" i="2"/>
  <c r="BZ18" i="2" s="1"/>
  <c r="AI13" i="2"/>
  <c r="AI8" i="2"/>
  <c r="AH82" i="2"/>
  <c r="BZ82" i="2" s="1"/>
  <c r="AG83" i="2"/>
  <c r="AH8" i="2"/>
  <c r="AE83" i="2"/>
  <c r="AF83" i="2"/>
  <c r="AV47" i="2" l="1"/>
  <c r="AX47" i="2" s="1"/>
  <c r="AU47" i="2"/>
  <c r="AW47" i="2" s="1"/>
  <c r="AU36" i="2"/>
  <c r="AV36" i="2"/>
  <c r="AV28" i="2"/>
  <c r="AX28" i="2" s="1"/>
  <c r="AZ28" i="2" s="1"/>
  <c r="AU28" i="2"/>
  <c r="AW28" i="2" s="1"/>
  <c r="AY28" i="2" s="1"/>
  <c r="AV23" i="2"/>
  <c r="AX23" i="2" s="1"/>
  <c r="AU23" i="2"/>
  <c r="AW23" i="2" s="1"/>
  <c r="BY38" i="2"/>
  <c r="CA38" i="2"/>
  <c r="BY24" i="2"/>
  <c r="CA24" i="2"/>
  <c r="BX15" i="2"/>
  <c r="BZ15" i="2"/>
  <c r="BY10" i="2"/>
  <c r="CA10" i="2"/>
  <c r="BX9" i="2"/>
  <c r="BZ9" i="2"/>
  <c r="BY64" i="2"/>
  <c r="CA64" i="2"/>
  <c r="BY22" i="2"/>
  <c r="CA22" i="2"/>
  <c r="BY78" i="2"/>
  <c r="CA78" i="2"/>
  <c r="BX69" i="2"/>
  <c r="BZ69" i="2"/>
  <c r="BY50" i="2"/>
  <c r="CA50" i="2"/>
  <c r="BX27" i="2"/>
  <c r="BZ27" i="2"/>
  <c r="BX13" i="2"/>
  <c r="BZ13" i="2"/>
  <c r="BX24" i="2"/>
  <c r="BZ24" i="2"/>
  <c r="BX38" i="2"/>
  <c r="BZ38" i="2"/>
  <c r="BY72" i="2"/>
  <c r="CA72" i="2"/>
  <c r="BX59" i="2"/>
  <c r="BZ59" i="2"/>
  <c r="BX10" i="2"/>
  <c r="BZ10" i="2"/>
  <c r="BX80" i="2"/>
  <c r="BZ80" i="2"/>
  <c r="BY65" i="2"/>
  <c r="CA65" i="2"/>
  <c r="BY37" i="2"/>
  <c r="CA37" i="2"/>
  <c r="BX73" i="2"/>
  <c r="BZ73" i="2"/>
  <c r="BY74" i="2"/>
  <c r="CA74" i="2"/>
  <c r="BX65" i="2"/>
  <c r="BZ65" i="2"/>
  <c r="BY60" i="2"/>
  <c r="CA60" i="2"/>
  <c r="BY46" i="2"/>
  <c r="CA46" i="2"/>
  <c r="BY44" i="2"/>
  <c r="CA44" i="2"/>
  <c r="BY57" i="2"/>
  <c r="CA57" i="2"/>
  <c r="BX48" i="2"/>
  <c r="BZ48" i="2"/>
  <c r="BX34" i="2"/>
  <c r="BZ34" i="2"/>
  <c r="BY29" i="2"/>
  <c r="CA29" i="2"/>
  <c r="BX20" i="2"/>
  <c r="BZ20" i="2"/>
  <c r="BY15" i="2"/>
  <c r="CA15" i="2"/>
  <c r="BY80" i="2"/>
  <c r="CA80" i="2"/>
  <c r="BY52" i="2"/>
  <c r="CA52" i="2"/>
  <c r="BY16" i="2"/>
  <c r="CA16" i="2"/>
  <c r="BY30" i="2"/>
  <c r="CA30" i="2"/>
  <c r="BX75" i="2"/>
  <c r="BZ75" i="2"/>
  <c r="BY70" i="2"/>
  <c r="CA70" i="2"/>
  <c r="BX19" i="2"/>
  <c r="BZ19" i="2"/>
  <c r="BY14" i="2"/>
  <c r="CA14" i="2"/>
  <c r="BY79" i="2"/>
  <c r="CA79" i="2"/>
  <c r="BX70" i="2"/>
  <c r="BZ70" i="2"/>
  <c r="BY9" i="2"/>
  <c r="CA9" i="2"/>
  <c r="BX78" i="2"/>
  <c r="BZ78" i="2"/>
  <c r="BY73" i="2"/>
  <c r="CA73" i="2"/>
  <c r="BX64" i="2"/>
  <c r="BZ64" i="2"/>
  <c r="BY59" i="2"/>
  <c r="CA59" i="2"/>
  <c r="BX50" i="2"/>
  <c r="BZ50" i="2"/>
  <c r="BX22" i="2"/>
  <c r="BZ22" i="2"/>
  <c r="BY12" i="2"/>
  <c r="CA12" i="2"/>
  <c r="BY7" i="2"/>
  <c r="CA7" i="2"/>
  <c r="BX35" i="2"/>
  <c r="BZ35" i="2"/>
  <c r="BX72" i="2"/>
  <c r="BZ72" i="2"/>
  <c r="BX44" i="2"/>
  <c r="BZ44" i="2"/>
  <c r="BX53" i="2"/>
  <c r="BZ53" i="2"/>
  <c r="BY48" i="2"/>
  <c r="CA48" i="2"/>
  <c r="BY34" i="2"/>
  <c r="CA34" i="2"/>
  <c r="BX25" i="2"/>
  <c r="BZ25" i="2"/>
  <c r="BY20" i="2"/>
  <c r="CA20" i="2"/>
  <c r="BY77" i="2"/>
  <c r="CA77" i="2"/>
  <c r="BX7" i="2"/>
  <c r="BZ7" i="2"/>
  <c r="BY53" i="2"/>
  <c r="CA53" i="2"/>
  <c r="BX16" i="2"/>
  <c r="BZ16" i="2"/>
  <c r="BX76" i="2"/>
  <c r="BZ76" i="2"/>
  <c r="BX12" i="2"/>
  <c r="BZ12" i="2"/>
  <c r="BY82" i="2"/>
  <c r="CA82" i="2"/>
  <c r="BY40" i="2"/>
  <c r="CA40" i="2"/>
  <c r="BX21" i="2"/>
  <c r="BZ21" i="2"/>
  <c r="BX30" i="2"/>
  <c r="BZ30" i="2"/>
  <c r="BY71" i="2"/>
  <c r="CA71" i="2"/>
  <c r="BX57" i="2"/>
  <c r="BZ57" i="2"/>
  <c r="BY75" i="2"/>
  <c r="CA75" i="2"/>
  <c r="BY19" i="2"/>
  <c r="CA19" i="2"/>
  <c r="BY68" i="2"/>
  <c r="CA68" i="2"/>
  <c r="BX68" i="2"/>
  <c r="BZ68" i="2"/>
  <c r="BY35" i="2"/>
  <c r="CA35" i="2"/>
  <c r="BY25" i="2"/>
  <c r="CA25" i="2"/>
  <c r="BY76" i="2"/>
  <c r="CA76" i="2"/>
  <c r="BY56" i="2"/>
  <c r="CA56" i="2"/>
  <c r="BY21" i="2"/>
  <c r="CA21" i="2"/>
  <c r="BX14" i="2"/>
  <c r="BZ14" i="2"/>
  <c r="BX26" i="2"/>
  <c r="BZ26" i="2"/>
  <c r="BY26" i="2"/>
  <c r="CA26" i="2"/>
  <c r="BX40" i="2"/>
  <c r="BZ40" i="2"/>
  <c r="BX77" i="2"/>
  <c r="BZ77" i="2"/>
  <c r="BX74" i="2"/>
  <c r="BZ74" i="2"/>
  <c r="BY69" i="2"/>
  <c r="CA69" i="2"/>
  <c r="BX60" i="2"/>
  <c r="BZ60" i="2"/>
  <c r="BX46" i="2"/>
  <c r="BZ46" i="2"/>
  <c r="BY41" i="2"/>
  <c r="CA41" i="2"/>
  <c r="BY27" i="2"/>
  <c r="CA27" i="2"/>
  <c r="BY13" i="2"/>
  <c r="CA13" i="2"/>
  <c r="BY8" i="2"/>
  <c r="CA8" i="2"/>
  <c r="BX8" i="2"/>
  <c r="BZ8" i="2"/>
  <c r="AI116" i="2"/>
  <c r="CA116" i="2" s="1"/>
  <c r="AH114" i="2"/>
  <c r="AI117" i="2"/>
  <c r="AH117" i="2"/>
  <c r="AI114" i="2"/>
  <c r="AH116" i="2"/>
  <c r="BX17" i="2"/>
  <c r="AH115" i="2"/>
  <c r="BZ115" i="2" s="1"/>
  <c r="BX4" i="2"/>
  <c r="AH113" i="2"/>
  <c r="BZ113" i="2" s="1"/>
  <c r="BY17" i="2"/>
  <c r="AI115" i="2"/>
  <c r="CA115" i="2" s="1"/>
  <c r="BR116" i="2"/>
  <c r="BL116" i="2"/>
  <c r="BK116" i="2"/>
  <c r="BY116" i="2"/>
  <c r="BY4" i="2"/>
  <c r="AI113" i="2"/>
  <c r="CA113" i="2" s="1"/>
  <c r="BO11" i="2"/>
  <c r="BX11" i="2"/>
  <c r="BO56" i="2"/>
  <c r="BX56" i="2"/>
  <c r="BR45" i="2"/>
  <c r="BY45" i="2"/>
  <c r="BO54" i="2"/>
  <c r="BX54" i="2"/>
  <c r="BO66" i="2"/>
  <c r="BX66" i="2"/>
  <c r="BO71" i="2"/>
  <c r="BX71" i="2"/>
  <c r="BR62" i="2"/>
  <c r="BY62" i="2"/>
  <c r="BR43" i="2"/>
  <c r="BY43" i="2"/>
  <c r="BR51" i="2"/>
  <c r="BY51" i="2"/>
  <c r="BO6" i="2"/>
  <c r="BX6" i="2"/>
  <c r="BO79" i="2"/>
  <c r="BX79" i="2"/>
  <c r="BO33" i="2"/>
  <c r="BX33" i="2"/>
  <c r="BR33" i="2"/>
  <c r="BY33" i="2"/>
  <c r="BO43" i="2"/>
  <c r="BX43" i="2"/>
  <c r="BR31" i="2"/>
  <c r="BY31" i="2"/>
  <c r="BR32" i="2"/>
  <c r="BY32" i="2"/>
  <c r="BR42" i="2"/>
  <c r="BY42" i="2"/>
  <c r="BO81" i="2"/>
  <c r="BX81" i="2"/>
  <c r="BO39" i="2"/>
  <c r="BX39" i="2"/>
  <c r="BO37" i="2"/>
  <c r="BX37" i="2"/>
  <c r="BR11" i="2"/>
  <c r="BY11" i="2"/>
  <c r="BR54" i="2"/>
  <c r="BY54" i="2"/>
  <c r="BR18" i="2"/>
  <c r="BY18" i="2"/>
  <c r="BO67" i="2"/>
  <c r="BX67" i="2"/>
  <c r="BO45" i="2"/>
  <c r="BX45" i="2"/>
  <c r="BO29" i="2"/>
  <c r="BX29" i="2"/>
  <c r="BR67" i="2"/>
  <c r="BY67" i="2"/>
  <c r="BO58" i="2"/>
  <c r="BX58" i="2"/>
  <c r="BO41" i="2"/>
  <c r="BX41" i="2"/>
  <c r="BR66" i="2"/>
  <c r="BY66" i="2"/>
  <c r="BR55" i="2"/>
  <c r="BY55" i="2"/>
  <c r="BO82" i="2"/>
  <c r="BX82" i="2"/>
  <c r="BO18" i="2"/>
  <c r="BX18" i="2"/>
  <c r="BO49" i="2"/>
  <c r="BX49" i="2"/>
  <c r="BR39" i="2"/>
  <c r="BY39" i="2"/>
  <c r="BO63" i="2"/>
  <c r="BX63" i="2"/>
  <c r="BO62" i="2"/>
  <c r="BX62" i="2"/>
  <c r="BO55" i="2"/>
  <c r="BX55" i="2"/>
  <c r="BR5" i="2"/>
  <c r="BY5" i="2"/>
  <c r="BR63" i="2"/>
  <c r="BY63" i="2"/>
  <c r="BO5" i="2"/>
  <c r="BX5" i="2"/>
  <c r="BO42" i="2"/>
  <c r="BX42" i="2"/>
  <c r="BR81" i="2"/>
  <c r="BY81" i="2"/>
  <c r="BO51" i="2"/>
  <c r="BX51" i="2"/>
  <c r="BO32" i="2"/>
  <c r="BX32" i="2"/>
  <c r="BR6" i="2"/>
  <c r="BY6" i="2"/>
  <c r="BR49" i="2"/>
  <c r="BY49" i="2"/>
  <c r="BR58" i="2"/>
  <c r="BY58" i="2"/>
  <c r="BO31" i="2"/>
  <c r="BX31" i="2"/>
  <c r="BO52" i="2"/>
  <c r="BX52" i="2"/>
  <c r="AU56" i="2"/>
  <c r="AW56" i="2" s="1"/>
  <c r="AY56" i="2" s="1"/>
  <c r="AU63" i="2"/>
  <c r="AW63" i="2" s="1"/>
  <c r="AY63" i="2" s="1"/>
  <c r="AQ8" i="1"/>
  <c r="AR8" i="1" s="1"/>
  <c r="AU74" i="2"/>
  <c r="AW74" i="2" s="1"/>
  <c r="AU69" i="2"/>
  <c r="AW69" i="2" s="1"/>
  <c r="AQ63" i="1"/>
  <c r="AR63" i="1" s="1"/>
  <c r="AU9" i="2"/>
  <c r="AW9" i="2" s="1"/>
  <c r="AU8" i="2"/>
  <c r="AW8" i="2" s="1"/>
  <c r="AU49" i="2"/>
  <c r="AW49" i="2" s="1"/>
  <c r="AY49" i="2" s="1"/>
  <c r="AU68" i="2"/>
  <c r="AW68" i="2" s="1"/>
  <c r="AO92" i="1"/>
  <c r="AK103" i="1"/>
  <c r="AK102" i="1" s="1"/>
  <c r="AU41" i="2"/>
  <c r="AW41" i="2" s="1"/>
  <c r="AY41" i="2" s="1"/>
  <c r="AU64" i="2"/>
  <c r="AW64" i="2" s="1"/>
  <c r="AM19" i="1"/>
  <c r="AN19" i="1" s="1"/>
  <c r="AL103" i="1"/>
  <c r="AL102" i="1" s="1"/>
  <c r="AG96" i="1"/>
  <c r="AG100" i="1"/>
  <c r="AG101" i="1" s="1"/>
  <c r="AG95" i="1"/>
  <c r="AG90" i="1"/>
  <c r="AH97" i="1"/>
  <c r="AG103" i="1"/>
  <c r="AG102" i="1" s="1"/>
  <c r="AO97" i="1"/>
  <c r="AP96" i="1"/>
  <c r="AL95" i="1"/>
  <c r="AL100" i="1"/>
  <c r="AL101" i="1" s="1"/>
  <c r="AL90" i="1"/>
  <c r="AO100" i="1"/>
  <c r="AO101" i="1" s="1"/>
  <c r="AO95" i="1"/>
  <c r="AO90" i="1"/>
  <c r="AG97" i="1"/>
  <c r="AG92" i="1"/>
  <c r="AO103" i="1"/>
  <c r="AO102" i="1" s="1"/>
  <c r="AQ11" i="1"/>
  <c r="AR11" i="1" s="1"/>
  <c r="AP92" i="1"/>
  <c r="AP100" i="1"/>
  <c r="AP95" i="1"/>
  <c r="AP90" i="1"/>
  <c r="AK95" i="1"/>
  <c r="AK100" i="1"/>
  <c r="AK101" i="1" s="1"/>
  <c r="AK90" i="1"/>
  <c r="AL96" i="1"/>
  <c r="AL97" i="1"/>
  <c r="AP103" i="1"/>
  <c r="AH96" i="1"/>
  <c r="AH92" i="1"/>
  <c r="AK92" i="1"/>
  <c r="AU12" i="2"/>
  <c r="AW12" i="2" s="1"/>
  <c r="AH103" i="1"/>
  <c r="AH102" i="1" s="1"/>
  <c r="AK96" i="1"/>
  <c r="AH100" i="1"/>
  <c r="AH101" i="1" s="1"/>
  <c r="AH95" i="1"/>
  <c r="AH90" i="1"/>
  <c r="AK97" i="1"/>
  <c r="AP97" i="1"/>
  <c r="AO96" i="1"/>
  <c r="AL92" i="1"/>
  <c r="BR26" i="2"/>
  <c r="BQ26" i="2"/>
  <c r="BR73" i="2"/>
  <c r="BQ73" i="2"/>
  <c r="BO7" i="2"/>
  <c r="BN7" i="2"/>
  <c r="BO75" i="2"/>
  <c r="BN75" i="2"/>
  <c r="BO59" i="2"/>
  <c r="BN59" i="2"/>
  <c r="BO35" i="2"/>
  <c r="BN35" i="2"/>
  <c r="BO8" i="2"/>
  <c r="BN8" i="2"/>
  <c r="BR4" i="2"/>
  <c r="BQ4" i="2"/>
  <c r="BR56" i="2"/>
  <c r="BQ56" i="2"/>
  <c r="BR75" i="2"/>
  <c r="BQ75" i="2"/>
  <c r="BO53" i="2"/>
  <c r="BN53" i="2"/>
  <c r="BO50" i="2"/>
  <c r="BR14" i="2"/>
  <c r="BQ14" i="2"/>
  <c r="BO34" i="2"/>
  <c r="BN34" i="2"/>
  <c r="BR50" i="2"/>
  <c r="BO15" i="2"/>
  <c r="BN15" i="2"/>
  <c r="BR30" i="2"/>
  <c r="BQ30" i="2"/>
  <c r="BR76" i="2"/>
  <c r="BQ76" i="2"/>
  <c r="BR71" i="2"/>
  <c r="BQ71" i="2"/>
  <c r="BO64" i="2"/>
  <c r="BN64" i="2"/>
  <c r="BO48" i="2"/>
  <c r="BN48" i="2"/>
  <c r="BR78" i="2"/>
  <c r="BQ78" i="2"/>
  <c r="BO44" i="2"/>
  <c r="BN44" i="2"/>
  <c r="BR57" i="2"/>
  <c r="BQ57" i="2"/>
  <c r="BR38" i="2"/>
  <c r="BQ38" i="2"/>
  <c r="BR13" i="2"/>
  <c r="BQ13" i="2"/>
  <c r="BO72" i="2"/>
  <c r="BN72" i="2"/>
  <c r="BO4" i="2"/>
  <c r="BN4" i="2"/>
  <c r="BR46" i="2"/>
  <c r="BQ46" i="2"/>
  <c r="BR27" i="2"/>
  <c r="BQ27" i="2"/>
  <c r="BO14" i="2"/>
  <c r="BN14" i="2"/>
  <c r="BR35" i="2"/>
  <c r="BQ35" i="2"/>
  <c r="BR77" i="2"/>
  <c r="BQ77" i="2"/>
  <c r="BR7" i="2"/>
  <c r="BQ7" i="2"/>
  <c r="BR9" i="2"/>
  <c r="BQ9" i="2"/>
  <c r="BR16" i="2"/>
  <c r="BQ16" i="2"/>
  <c r="BO17" i="2"/>
  <c r="BN17" i="2"/>
  <c r="BR64" i="2"/>
  <c r="BQ64" i="2"/>
  <c r="BR24" i="2"/>
  <c r="BQ24" i="2"/>
  <c r="BR22" i="2"/>
  <c r="BQ22" i="2"/>
  <c r="BR21" i="2"/>
  <c r="BQ21" i="2"/>
  <c r="BR60" i="2"/>
  <c r="BQ60" i="2"/>
  <c r="BO77" i="2"/>
  <c r="BN77" i="2"/>
  <c r="BO57" i="2"/>
  <c r="BN57" i="2"/>
  <c r="BO76" i="2"/>
  <c r="BN76" i="2"/>
  <c r="BR59" i="2"/>
  <c r="BQ59" i="2"/>
  <c r="BO19" i="2"/>
  <c r="BN19" i="2"/>
  <c r="BO80" i="2"/>
  <c r="BN80" i="2"/>
  <c r="BO40" i="2"/>
  <c r="BN40" i="2"/>
  <c r="BO16" i="2"/>
  <c r="BN16" i="2"/>
  <c r="BR8" i="2"/>
  <c r="BQ8" i="2"/>
  <c r="BR25" i="2"/>
  <c r="BQ25" i="2"/>
  <c r="BR53" i="2"/>
  <c r="BQ53" i="2"/>
  <c r="BR70" i="2"/>
  <c r="BQ70" i="2"/>
  <c r="BO10" i="2"/>
  <c r="BN10" i="2"/>
  <c r="BO46" i="2"/>
  <c r="BN46" i="2"/>
  <c r="BR17" i="2"/>
  <c r="BQ17" i="2"/>
  <c r="BR80" i="2"/>
  <c r="BQ80" i="2"/>
  <c r="BR74" i="2"/>
  <c r="BQ74" i="2"/>
  <c r="BR19" i="2"/>
  <c r="BQ19" i="2"/>
  <c r="BR82" i="2"/>
  <c r="BQ82" i="2"/>
  <c r="BO25" i="2"/>
  <c r="BN25" i="2"/>
  <c r="BO22" i="2"/>
  <c r="BN22" i="2"/>
  <c r="BO24" i="2"/>
  <c r="BN24" i="2"/>
  <c r="BO69" i="2"/>
  <c r="BN69" i="2"/>
  <c r="BO26" i="2"/>
  <c r="BN26" i="2"/>
  <c r="BO68" i="2"/>
  <c r="BN68" i="2"/>
  <c r="BO21" i="2"/>
  <c r="BN21" i="2"/>
  <c r="BR41" i="2"/>
  <c r="BQ41" i="2"/>
  <c r="BR68" i="2"/>
  <c r="BQ68" i="2"/>
  <c r="BR40" i="2"/>
  <c r="BQ40" i="2"/>
  <c r="BR12" i="2"/>
  <c r="BQ12" i="2"/>
  <c r="BR52" i="2"/>
  <c r="BQ52" i="2"/>
  <c r="BO65" i="2"/>
  <c r="BN65" i="2"/>
  <c r="BR72" i="2"/>
  <c r="BQ72" i="2"/>
  <c r="BO9" i="2"/>
  <c r="BN9" i="2"/>
  <c r="BR20" i="2"/>
  <c r="BQ20" i="2"/>
  <c r="BO38" i="2"/>
  <c r="BN38" i="2"/>
  <c r="BO60" i="2"/>
  <c r="BN60" i="2"/>
  <c r="BR34" i="2"/>
  <c r="BQ34" i="2"/>
  <c r="BR15" i="2"/>
  <c r="BQ15" i="2"/>
  <c r="BO73" i="2"/>
  <c r="BN73" i="2"/>
  <c r="BO13" i="2"/>
  <c r="BN13" i="2"/>
  <c r="BO30" i="2"/>
  <c r="BN30" i="2"/>
  <c r="BO78" i="2"/>
  <c r="BN78" i="2"/>
  <c r="BR44" i="2"/>
  <c r="BQ44" i="2"/>
  <c r="BR69" i="2"/>
  <c r="BQ69" i="2"/>
  <c r="BO70" i="2"/>
  <c r="BN70" i="2"/>
  <c r="BO20" i="2"/>
  <c r="BN20" i="2"/>
  <c r="BR37" i="2"/>
  <c r="BQ37" i="2"/>
  <c r="BO27" i="2"/>
  <c r="BN27" i="2"/>
  <c r="BO74" i="2"/>
  <c r="BN74" i="2"/>
  <c r="BO12" i="2"/>
  <c r="BN12" i="2"/>
  <c r="BR48" i="2"/>
  <c r="BQ48" i="2"/>
  <c r="BR79" i="2"/>
  <c r="BQ79" i="2"/>
  <c r="BR29" i="2"/>
  <c r="BQ29" i="2"/>
  <c r="BR65" i="2"/>
  <c r="BQ65" i="2"/>
  <c r="BR10" i="2"/>
  <c r="BQ10" i="2"/>
  <c r="AE91" i="2"/>
  <c r="AG91" i="2"/>
  <c r="BG82" i="2"/>
  <c r="BH82" i="2"/>
  <c r="BL71" i="2"/>
  <c r="BK71" i="2"/>
  <c r="BJ71" i="2"/>
  <c r="BG48" i="2"/>
  <c r="BH48" i="2"/>
  <c r="BF48" i="2"/>
  <c r="BL25" i="2"/>
  <c r="BK25" i="2"/>
  <c r="BJ25" i="2"/>
  <c r="BL38" i="2"/>
  <c r="BK38" i="2"/>
  <c r="BJ38" i="2"/>
  <c r="BG18" i="2"/>
  <c r="BH18" i="2"/>
  <c r="BH26" i="2"/>
  <c r="BG26" i="2"/>
  <c r="BF26" i="2"/>
  <c r="BG49" i="2"/>
  <c r="BH49" i="2"/>
  <c r="BL39" i="2"/>
  <c r="BK39" i="2"/>
  <c r="BG63" i="2"/>
  <c r="BH63" i="2"/>
  <c r="BG35" i="2"/>
  <c r="BH35" i="2"/>
  <c r="BF35" i="2"/>
  <c r="AH90" i="2"/>
  <c r="BZ90" i="2" s="1"/>
  <c r="BH4" i="2"/>
  <c r="AH95" i="2"/>
  <c r="BZ95" i="2" s="1"/>
  <c r="BG4" i="2"/>
  <c r="AH100" i="2"/>
  <c r="BZ100" i="2" s="1"/>
  <c r="BK30" i="2"/>
  <c r="BL30" i="2"/>
  <c r="BJ30" i="2"/>
  <c r="BK46" i="2"/>
  <c r="BL46" i="2"/>
  <c r="BJ46" i="2"/>
  <c r="BG62" i="2"/>
  <c r="BH62" i="2"/>
  <c r="BG55" i="2"/>
  <c r="BH55" i="2"/>
  <c r="BG40" i="2"/>
  <c r="BH40" i="2"/>
  <c r="BF40" i="2"/>
  <c r="BG64" i="2"/>
  <c r="BH64" i="2"/>
  <c r="BF64" i="2"/>
  <c r="BH29" i="2"/>
  <c r="BG29" i="2"/>
  <c r="BK57" i="2"/>
  <c r="BL57" i="2"/>
  <c r="BJ57" i="2"/>
  <c r="BK27" i="2"/>
  <c r="BL27" i="2"/>
  <c r="BJ27" i="2"/>
  <c r="BG14" i="2"/>
  <c r="BH14" i="2"/>
  <c r="BF14" i="2"/>
  <c r="BL35" i="2"/>
  <c r="BK35" i="2"/>
  <c r="BJ35" i="2"/>
  <c r="BK81" i="2"/>
  <c r="BL81" i="2"/>
  <c r="BL77" i="2"/>
  <c r="BK77" i="2"/>
  <c r="BJ77" i="2"/>
  <c r="BK7" i="2"/>
  <c r="BL7" i="2"/>
  <c r="BJ7" i="2"/>
  <c r="BK9" i="2"/>
  <c r="BJ9" i="2"/>
  <c r="BL9" i="2"/>
  <c r="BJ16" i="2"/>
  <c r="BK16" i="2"/>
  <c r="BL16" i="2"/>
  <c r="BG51" i="2"/>
  <c r="BH51" i="2"/>
  <c r="BH17" i="2"/>
  <c r="BG17" i="2"/>
  <c r="BF17" i="2"/>
  <c r="BK64" i="2"/>
  <c r="BL64" i="2"/>
  <c r="BJ64" i="2"/>
  <c r="BH16" i="2"/>
  <c r="BG16" i="2"/>
  <c r="BF16" i="2"/>
  <c r="BL78" i="2"/>
  <c r="BK78" i="2"/>
  <c r="BJ78" i="2"/>
  <c r="BH44" i="2"/>
  <c r="BF44" i="2"/>
  <c r="BG44" i="2"/>
  <c r="BK13" i="2"/>
  <c r="BL13" i="2"/>
  <c r="BJ13" i="2"/>
  <c r="BG32" i="2"/>
  <c r="BH32" i="2"/>
  <c r="BL21" i="2"/>
  <c r="BK21" i="2"/>
  <c r="BJ21" i="2"/>
  <c r="BH68" i="2"/>
  <c r="BG68" i="2"/>
  <c r="BF68" i="2"/>
  <c r="BH21" i="2"/>
  <c r="BG21" i="2"/>
  <c r="BF21" i="2"/>
  <c r="BK6" i="2"/>
  <c r="BL6" i="2"/>
  <c r="BL49" i="2"/>
  <c r="BK49" i="2"/>
  <c r="BL58" i="2"/>
  <c r="BK58" i="2"/>
  <c r="BK60" i="2"/>
  <c r="BL60" i="2"/>
  <c r="BJ60" i="2"/>
  <c r="BG31" i="2"/>
  <c r="BH31" i="2"/>
  <c r="BH52" i="2"/>
  <c r="BG52" i="2"/>
  <c r="BH30" i="2"/>
  <c r="BF30" i="2"/>
  <c r="BG30" i="2"/>
  <c r="BG46" i="2"/>
  <c r="BH46" i="2"/>
  <c r="BF46" i="2"/>
  <c r="AH96" i="2"/>
  <c r="BZ96" i="2" s="1"/>
  <c r="BH5" i="2"/>
  <c r="BG5" i="2"/>
  <c r="AI96" i="2"/>
  <c r="CA96" i="2" s="1"/>
  <c r="BL5" i="2"/>
  <c r="BK5" i="2"/>
  <c r="BL54" i="2"/>
  <c r="BK54" i="2"/>
  <c r="BL20" i="2"/>
  <c r="BK20" i="2"/>
  <c r="BJ20" i="2"/>
  <c r="BK17" i="2"/>
  <c r="BL17" i="2"/>
  <c r="BJ17" i="2"/>
  <c r="BH42" i="2"/>
  <c r="BG42" i="2"/>
  <c r="BK80" i="2"/>
  <c r="BL80" i="2"/>
  <c r="BJ80" i="2"/>
  <c r="BL74" i="2"/>
  <c r="BK74" i="2"/>
  <c r="BJ74" i="2"/>
  <c r="BH38" i="2"/>
  <c r="BG38" i="2"/>
  <c r="BF38" i="2"/>
  <c r="BK18" i="2"/>
  <c r="BL18" i="2"/>
  <c r="BL55" i="2"/>
  <c r="BK55" i="2"/>
  <c r="BL19" i="2"/>
  <c r="BJ19" i="2"/>
  <c r="BK19" i="2"/>
  <c r="BK82" i="2"/>
  <c r="BJ82" i="2"/>
  <c r="BL82" i="2"/>
  <c r="BH25" i="2"/>
  <c r="BG25" i="2"/>
  <c r="BF25" i="2"/>
  <c r="BG22" i="2"/>
  <c r="BH22" i="2"/>
  <c r="BF22" i="2"/>
  <c r="BK51" i="2"/>
  <c r="BL51" i="2"/>
  <c r="BG6" i="2"/>
  <c r="BH6" i="2"/>
  <c r="BG79" i="2"/>
  <c r="BH79" i="2"/>
  <c r="BH24" i="2"/>
  <c r="BG24" i="2"/>
  <c r="BF24" i="2"/>
  <c r="BG58" i="2"/>
  <c r="BH58" i="2"/>
  <c r="BG78" i="2"/>
  <c r="BH78" i="2"/>
  <c r="BF78" i="2"/>
  <c r="BG75" i="2"/>
  <c r="BH75" i="2"/>
  <c r="BF75" i="2"/>
  <c r="BG59" i="2"/>
  <c r="BH59" i="2"/>
  <c r="BF59" i="2"/>
  <c r="BK66" i="2"/>
  <c r="BL66" i="2"/>
  <c r="BK41" i="2"/>
  <c r="BL41" i="2"/>
  <c r="BJ41" i="2"/>
  <c r="BK63" i="2"/>
  <c r="BL63" i="2"/>
  <c r="BL68" i="2"/>
  <c r="BJ68" i="2"/>
  <c r="BK68" i="2"/>
  <c r="AH92" i="2"/>
  <c r="BZ92" i="2" s="1"/>
  <c r="BH11" i="2"/>
  <c r="BG11" i="2"/>
  <c r="BL72" i="2"/>
  <c r="BK72" i="2"/>
  <c r="BJ72" i="2"/>
  <c r="BH60" i="2"/>
  <c r="BG60" i="2"/>
  <c r="BF60" i="2"/>
  <c r="BG33" i="2"/>
  <c r="BH33" i="2"/>
  <c r="BK33" i="2"/>
  <c r="BL33" i="2"/>
  <c r="BG43" i="2"/>
  <c r="BH43" i="2"/>
  <c r="BK34" i="2"/>
  <c r="BL34" i="2"/>
  <c r="BJ34" i="2"/>
  <c r="BK31" i="2"/>
  <c r="BL31" i="2"/>
  <c r="BG56" i="2"/>
  <c r="BH56" i="2"/>
  <c r="BL15" i="2"/>
  <c r="BK15" i="2"/>
  <c r="BJ15" i="2"/>
  <c r="BG73" i="2"/>
  <c r="BH73" i="2"/>
  <c r="BF73" i="2"/>
  <c r="BF13" i="2"/>
  <c r="BH13" i="2"/>
  <c r="BG13" i="2"/>
  <c r="BK32" i="2"/>
  <c r="BL32" i="2"/>
  <c r="BK76" i="2"/>
  <c r="BL76" i="2"/>
  <c r="BJ76" i="2"/>
  <c r="BK73" i="2"/>
  <c r="BL73" i="2"/>
  <c r="BJ73" i="2"/>
  <c r="BK67" i="2"/>
  <c r="BL67" i="2"/>
  <c r="BG72" i="2"/>
  <c r="BH72" i="2"/>
  <c r="BF72" i="2"/>
  <c r="BK44" i="2"/>
  <c r="BL44" i="2"/>
  <c r="BJ44" i="2"/>
  <c r="BH41" i="2"/>
  <c r="BG41" i="2"/>
  <c r="BL40" i="2"/>
  <c r="BK40" i="2"/>
  <c r="BJ40" i="2"/>
  <c r="BL12" i="2"/>
  <c r="AI103" i="2"/>
  <c r="CA103" i="2" s="1"/>
  <c r="BJ12" i="2"/>
  <c r="BK12" i="2"/>
  <c r="BL52" i="2"/>
  <c r="BK52" i="2"/>
  <c r="BJ52" i="2"/>
  <c r="BG9" i="2"/>
  <c r="BH9" i="2"/>
  <c r="BF9" i="2"/>
  <c r="BG74" i="2"/>
  <c r="BH74" i="2"/>
  <c r="BF74" i="2"/>
  <c r="AH103" i="2"/>
  <c r="BZ103" i="2" s="1"/>
  <c r="BG12" i="2"/>
  <c r="BH12" i="2"/>
  <c r="BF12" i="2"/>
  <c r="BL48" i="2"/>
  <c r="BK48" i="2"/>
  <c r="BJ48" i="2"/>
  <c r="BK45" i="2"/>
  <c r="BL45" i="2"/>
  <c r="BK79" i="2"/>
  <c r="BL79" i="2"/>
  <c r="BJ79" i="2"/>
  <c r="BK29" i="2"/>
  <c r="BL29" i="2"/>
  <c r="BJ29" i="2"/>
  <c r="BK65" i="2"/>
  <c r="BL65" i="2"/>
  <c r="BJ65" i="2"/>
  <c r="BL10" i="2"/>
  <c r="AI97" i="2"/>
  <c r="CA97" i="2" s="1"/>
  <c r="BK10" i="2"/>
  <c r="BJ10" i="2"/>
  <c r="AF91" i="2"/>
  <c r="BK8" i="2"/>
  <c r="BL8" i="2"/>
  <c r="BJ8" i="2"/>
  <c r="BJ26" i="2"/>
  <c r="BL26" i="2"/>
  <c r="BK26" i="2"/>
  <c r="BL11" i="2"/>
  <c r="BK11" i="2"/>
  <c r="AI92" i="2"/>
  <c r="CA92" i="2" s="1"/>
  <c r="BL53" i="2"/>
  <c r="BK53" i="2"/>
  <c r="BJ53" i="2"/>
  <c r="BL70" i="2"/>
  <c r="BK70" i="2"/>
  <c r="BJ70" i="2"/>
  <c r="BL22" i="2"/>
  <c r="BK22" i="2"/>
  <c r="BJ22" i="2"/>
  <c r="BG7" i="2"/>
  <c r="BF7" i="2"/>
  <c r="BH7" i="2"/>
  <c r="BL69" i="2"/>
  <c r="BK69" i="2"/>
  <c r="BJ69" i="2"/>
  <c r="BK42" i="2"/>
  <c r="BL42" i="2"/>
  <c r="BG81" i="2"/>
  <c r="BH81" i="2"/>
  <c r="BH39" i="2"/>
  <c r="BG39" i="2"/>
  <c r="BH70" i="2"/>
  <c r="BG70" i="2"/>
  <c r="BF70" i="2"/>
  <c r="BF20" i="2"/>
  <c r="BG20" i="2"/>
  <c r="BH20" i="2"/>
  <c r="BK37" i="2"/>
  <c r="BL37" i="2"/>
  <c r="BJ37" i="2"/>
  <c r="BG27" i="2"/>
  <c r="BH27" i="2"/>
  <c r="BF27" i="2"/>
  <c r="BG37" i="2"/>
  <c r="BH37" i="2"/>
  <c r="BH8" i="2"/>
  <c r="BG8" i="2"/>
  <c r="BF8" i="2"/>
  <c r="AI90" i="2"/>
  <c r="CA90" i="2" s="1"/>
  <c r="BL4" i="2"/>
  <c r="BK4" i="2"/>
  <c r="AI95" i="2"/>
  <c r="CA95" i="2" s="1"/>
  <c r="AI100" i="2"/>
  <c r="CA100" i="2" s="1"/>
  <c r="BK56" i="2"/>
  <c r="BL56" i="2"/>
  <c r="BJ56" i="2"/>
  <c r="BJ75" i="2"/>
  <c r="BL75" i="2"/>
  <c r="BK75" i="2"/>
  <c r="BH54" i="2"/>
  <c r="BG54" i="2"/>
  <c r="BH53" i="2"/>
  <c r="BG53" i="2"/>
  <c r="BF53" i="2"/>
  <c r="BH50" i="2"/>
  <c r="BG50" i="2"/>
  <c r="BK14" i="2"/>
  <c r="BL14" i="2"/>
  <c r="BJ14" i="2"/>
  <c r="BG34" i="2"/>
  <c r="BH34" i="2"/>
  <c r="BF34" i="2"/>
  <c r="BG66" i="2"/>
  <c r="BH66" i="2"/>
  <c r="BK50" i="2"/>
  <c r="BL50" i="2"/>
  <c r="BG15" i="2"/>
  <c r="BH15" i="2"/>
  <c r="BF15" i="2"/>
  <c r="BH67" i="2"/>
  <c r="BG67" i="2"/>
  <c r="BG45" i="2"/>
  <c r="BH45" i="2"/>
  <c r="AH97" i="2"/>
  <c r="BZ97" i="2" s="1"/>
  <c r="BG10" i="2"/>
  <c r="BH10" i="2"/>
  <c r="BF10" i="2"/>
  <c r="BH65" i="2"/>
  <c r="BF65" i="2"/>
  <c r="BG65" i="2"/>
  <c r="BG77" i="2"/>
  <c r="BH77" i="2"/>
  <c r="BF77" i="2"/>
  <c r="BH71" i="2"/>
  <c r="BG71" i="2"/>
  <c r="BH57" i="2"/>
  <c r="BG57" i="2"/>
  <c r="BF57" i="2"/>
  <c r="BG76" i="2"/>
  <c r="BF76" i="2"/>
  <c r="BH76" i="2"/>
  <c r="BL62" i="2"/>
  <c r="BK62" i="2"/>
  <c r="BL59" i="2"/>
  <c r="BK59" i="2"/>
  <c r="BJ59" i="2"/>
  <c r="BH19" i="2"/>
  <c r="BG19" i="2"/>
  <c r="BF19" i="2"/>
  <c r="BK43" i="2"/>
  <c r="BL43" i="2"/>
  <c r="BH80" i="2"/>
  <c r="BG80" i="2"/>
  <c r="BF80" i="2"/>
  <c r="BH69" i="2"/>
  <c r="BF69" i="2"/>
  <c r="BG69" i="2"/>
  <c r="BK24" i="2"/>
  <c r="BL24" i="2"/>
  <c r="BJ24" i="2"/>
  <c r="AU19" i="2"/>
  <c r="AW19" i="2" s="1"/>
  <c r="AU30" i="2"/>
  <c r="AW30" i="2" s="1"/>
  <c r="AU75" i="2"/>
  <c r="AW75" i="2" s="1"/>
  <c r="AU18" i="2"/>
  <c r="AW18" i="2" s="1"/>
  <c r="AY18" i="2" s="1"/>
  <c r="AU62" i="2"/>
  <c r="AW62" i="2" s="1"/>
  <c r="AY62" i="2" s="1"/>
  <c r="AU72" i="2"/>
  <c r="AW72" i="2" s="1"/>
  <c r="AU4" i="2"/>
  <c r="AU7" i="2"/>
  <c r="AW7" i="2" s="1"/>
  <c r="AU73" i="2"/>
  <c r="AW73" i="2" s="1"/>
  <c r="AV33" i="2"/>
  <c r="AX33" i="2" s="1"/>
  <c r="AZ33" i="2" s="1"/>
  <c r="AU67" i="2"/>
  <c r="AW67" i="2" s="1"/>
  <c r="AY67" i="2" s="1"/>
  <c r="AU78" i="2"/>
  <c r="AW78" i="2" s="1"/>
  <c r="AU70" i="2"/>
  <c r="AW70" i="2" s="1"/>
  <c r="AU60" i="2"/>
  <c r="AW60" i="2" s="1"/>
  <c r="AV29" i="2"/>
  <c r="AX29" i="2" s="1"/>
  <c r="AV62" i="2"/>
  <c r="AX62" i="2" s="1"/>
  <c r="AZ62" i="2" s="1"/>
  <c r="AU44" i="2"/>
  <c r="AW44" i="2" s="1"/>
  <c r="AV13" i="2"/>
  <c r="AX13" i="2" s="1"/>
  <c r="AU57" i="2"/>
  <c r="AW57" i="2" s="1"/>
  <c r="AU25" i="2"/>
  <c r="AW25" i="2" s="1"/>
  <c r="AV76" i="2"/>
  <c r="AX76" i="2" s="1"/>
  <c r="AV55" i="2"/>
  <c r="AX55" i="2" s="1"/>
  <c r="AZ55" i="2" s="1"/>
  <c r="AV22" i="2"/>
  <c r="AX22" i="2" s="1"/>
  <c r="AV45" i="2"/>
  <c r="AX45" i="2" s="1"/>
  <c r="AZ45" i="2" s="1"/>
  <c r="AU21" i="2"/>
  <c r="AW21" i="2" s="1"/>
  <c r="AU71" i="2"/>
  <c r="AW71" i="2" s="1"/>
  <c r="AY71" i="2" s="1"/>
  <c r="AV53" i="2"/>
  <c r="AX53" i="2" s="1"/>
  <c r="AU17" i="2"/>
  <c r="AV6" i="2"/>
  <c r="AV48" i="2"/>
  <c r="AX48" i="2" s="1"/>
  <c r="AV31" i="2"/>
  <c r="AX31" i="2" s="1"/>
  <c r="AZ31" i="2" s="1"/>
  <c r="AU29" i="2"/>
  <c r="AW29" i="2" s="1"/>
  <c r="AY29" i="2" s="1"/>
  <c r="AV24" i="2"/>
  <c r="AX24" i="2" s="1"/>
  <c r="AU37" i="2"/>
  <c r="AW37" i="2" s="1"/>
  <c r="AY37" i="2" s="1"/>
  <c r="AU51" i="2"/>
  <c r="AW51" i="2" s="1"/>
  <c r="AY51" i="2" s="1"/>
  <c r="AU5" i="2"/>
  <c r="AV10" i="2"/>
  <c r="AV54" i="2"/>
  <c r="AX54" i="2" s="1"/>
  <c r="AZ54" i="2" s="1"/>
  <c r="AV21" i="2"/>
  <c r="AX21" i="2" s="1"/>
  <c r="AV80" i="2"/>
  <c r="AX80" i="2" s="1"/>
  <c r="AU6" i="2"/>
  <c r="AV7" i="2"/>
  <c r="AX7" i="2" s="1"/>
  <c r="AU11" i="2"/>
  <c r="AV73" i="2"/>
  <c r="AX73" i="2" s="1"/>
  <c r="AU42" i="2"/>
  <c r="AW42" i="2" s="1"/>
  <c r="AY42" i="2" s="1"/>
  <c r="AV56" i="2"/>
  <c r="AX56" i="2" s="1"/>
  <c r="AU14" i="2"/>
  <c r="AW14" i="2" s="1"/>
  <c r="AV59" i="2"/>
  <c r="AX59" i="2" s="1"/>
  <c r="AU54" i="2"/>
  <c r="AW54" i="2" s="1"/>
  <c r="AY54" i="2" s="1"/>
  <c r="AU66" i="2"/>
  <c r="AW66" i="2" s="1"/>
  <c r="AY66" i="2" s="1"/>
  <c r="AU40" i="2"/>
  <c r="AW40" i="2" s="1"/>
  <c r="AU26" i="2"/>
  <c r="AW26" i="2" s="1"/>
  <c r="AU59" i="2"/>
  <c r="AW59" i="2" s="1"/>
  <c r="AV19" i="2"/>
  <c r="AX19" i="2" s="1"/>
  <c r="AU32" i="2"/>
  <c r="AW32" i="2" s="1"/>
  <c r="AY32" i="2" s="1"/>
  <c r="AM11" i="1"/>
  <c r="AV11" i="2"/>
  <c r="AU15" i="2"/>
  <c r="AW15" i="2" s="1"/>
  <c r="AV68" i="2"/>
  <c r="AX68" i="2" s="1"/>
  <c r="AV12" i="2"/>
  <c r="AV39" i="2"/>
  <c r="AV16" i="2"/>
  <c r="AX16" i="2" s="1"/>
  <c r="AV14" i="2"/>
  <c r="AX14" i="2" s="1"/>
  <c r="AI65" i="1"/>
  <c r="AJ65" i="1" s="1"/>
  <c r="AU65" i="2"/>
  <c r="AW65" i="2" s="1"/>
  <c r="AV81" i="2"/>
  <c r="AX81" i="2" s="1"/>
  <c r="AZ81" i="2" s="1"/>
  <c r="AU76" i="2"/>
  <c r="AW76" i="2" s="1"/>
  <c r="AV52" i="2"/>
  <c r="AX52" i="2" s="1"/>
  <c r="AV75" i="2"/>
  <c r="AX75" i="2" s="1"/>
  <c r="AV34" i="2"/>
  <c r="AX34" i="2" s="1"/>
  <c r="AU20" i="2"/>
  <c r="AW20" i="2" s="1"/>
  <c r="AU79" i="2"/>
  <c r="AW79" i="2" s="1"/>
  <c r="AY79" i="2" s="1"/>
  <c r="AV15" i="2"/>
  <c r="AX15" i="2" s="1"/>
  <c r="AV32" i="2"/>
  <c r="AX32" i="2" s="1"/>
  <c r="AZ32" i="2" s="1"/>
  <c r="AV49" i="2"/>
  <c r="AX49" i="2" s="1"/>
  <c r="AZ49" i="2" s="1"/>
  <c r="AV41" i="2"/>
  <c r="AX41" i="2" s="1"/>
  <c r="AV74" i="2"/>
  <c r="AX74" i="2" s="1"/>
  <c r="AV63" i="2"/>
  <c r="AX63" i="2" s="1"/>
  <c r="AZ63" i="2" s="1"/>
  <c r="AU10" i="2"/>
  <c r="AV9" i="2"/>
  <c r="AX9" i="2" s="1"/>
  <c r="AV82" i="2"/>
  <c r="AX82" i="2" s="1"/>
  <c r="AV42" i="2"/>
  <c r="AX42" i="2" s="1"/>
  <c r="AZ42" i="2" s="1"/>
  <c r="AV37" i="2"/>
  <c r="AX37" i="2" s="1"/>
  <c r="AV78" i="2"/>
  <c r="AX78" i="2" s="1"/>
  <c r="AU35" i="2"/>
  <c r="AW35" i="2" s="1"/>
  <c r="AU13" i="2"/>
  <c r="AW13" i="2" s="1"/>
  <c r="AU82" i="2"/>
  <c r="AW82" i="2" s="1"/>
  <c r="AY82" i="2" s="1"/>
  <c r="AV67" i="2"/>
  <c r="AX67" i="2" s="1"/>
  <c r="AZ67" i="2" s="1"/>
  <c r="AU34" i="2"/>
  <c r="AW34" i="2" s="1"/>
  <c r="AU31" i="2"/>
  <c r="AW31" i="2" s="1"/>
  <c r="AY31" i="2" s="1"/>
  <c r="AU24" i="2"/>
  <c r="AW24" i="2" s="1"/>
  <c r="AV50" i="2"/>
  <c r="AU43" i="2"/>
  <c r="AW43" i="2" s="1"/>
  <c r="AU39" i="2"/>
  <c r="AU50" i="2"/>
  <c r="AV4" i="2"/>
  <c r="AV113" i="2" s="1"/>
  <c r="AU53" i="2"/>
  <c r="AW53" i="2" s="1"/>
  <c r="AV27" i="2"/>
  <c r="AX27" i="2" s="1"/>
  <c r="AV30" i="2"/>
  <c r="AX30" i="2" s="1"/>
  <c r="AV64" i="2"/>
  <c r="AX64" i="2" s="1"/>
  <c r="AV26" i="2"/>
  <c r="AX26" i="2" s="1"/>
  <c r="AV20" i="2"/>
  <c r="AX20" i="2" s="1"/>
  <c r="AU48" i="2"/>
  <c r="AW48" i="2" s="1"/>
  <c r="AV44" i="2"/>
  <c r="AX44" i="2" s="1"/>
  <c r="AV35" i="2"/>
  <c r="AX35" i="2" s="1"/>
  <c r="AV60" i="2"/>
  <c r="AX60" i="2" s="1"/>
  <c r="AV17" i="2"/>
  <c r="AV58" i="2"/>
  <c r="AX58" i="2" s="1"/>
  <c r="AZ58" i="2" s="1"/>
  <c r="AV71" i="2"/>
  <c r="AX71" i="2" s="1"/>
  <c r="AU77" i="2"/>
  <c r="AW77" i="2" s="1"/>
  <c r="AU58" i="2"/>
  <c r="AW58" i="2" s="1"/>
  <c r="AY58" i="2" s="1"/>
  <c r="AV18" i="2"/>
  <c r="AX18" i="2" s="1"/>
  <c r="AZ18" i="2" s="1"/>
  <c r="AV79" i="2"/>
  <c r="AX79" i="2" s="1"/>
  <c r="AV38" i="2"/>
  <c r="AX38" i="2" s="1"/>
  <c r="AV77" i="2"/>
  <c r="AX77" i="2" s="1"/>
  <c r="AV72" i="2"/>
  <c r="AX72" i="2" s="1"/>
  <c r="AU38" i="2"/>
  <c r="AW38" i="2" s="1"/>
  <c r="AV70" i="2"/>
  <c r="AX70" i="2" s="1"/>
  <c r="AV51" i="2"/>
  <c r="AX51" i="2" s="1"/>
  <c r="AZ51" i="2" s="1"/>
  <c r="AU16" i="2"/>
  <c r="AW16" i="2" s="1"/>
  <c r="AU22" i="2"/>
  <c r="AW22" i="2" s="1"/>
  <c r="AU27" i="2"/>
  <c r="AW27" i="2" s="1"/>
  <c r="AV43" i="2"/>
  <c r="AX43" i="2" s="1"/>
  <c r="AI80" i="1"/>
  <c r="AJ80" i="1" s="1"/>
  <c r="AU80" i="2"/>
  <c r="AW80" i="2" s="1"/>
  <c r="AV69" i="2"/>
  <c r="AX69" i="2" s="1"/>
  <c r="AV40" i="2"/>
  <c r="AX40" i="2" s="1"/>
  <c r="AU55" i="2"/>
  <c r="AW55" i="2" s="1"/>
  <c r="AY55" i="2" s="1"/>
  <c r="AU45" i="2"/>
  <c r="AW45" i="2" s="1"/>
  <c r="AY45" i="2" s="1"/>
  <c r="AV25" i="2"/>
  <c r="AX25" i="2" s="1"/>
  <c r="AU81" i="2"/>
  <c r="AW81" i="2" s="1"/>
  <c r="AY81" i="2" s="1"/>
  <c r="AV66" i="2"/>
  <c r="AX66" i="2" s="1"/>
  <c r="AZ66" i="2" s="1"/>
  <c r="AU33" i="2"/>
  <c r="AW33" i="2" s="1"/>
  <c r="AY33" i="2" s="1"/>
  <c r="AV46" i="2"/>
  <c r="AX46" i="2" s="1"/>
  <c r="AV65" i="2"/>
  <c r="AX65" i="2" s="1"/>
  <c r="AU46" i="2"/>
  <c r="AW46" i="2" s="1"/>
  <c r="AV57" i="2"/>
  <c r="AX57" i="2" s="1"/>
  <c r="AV8" i="2"/>
  <c r="AX8" i="2" s="1"/>
  <c r="AV5" i="2"/>
  <c r="AU52" i="2"/>
  <c r="AW52" i="2" s="1"/>
  <c r="AY52" i="2" s="1"/>
  <c r="AI83" i="2"/>
  <c r="CA83" i="2" s="1"/>
  <c r="AH83" i="2"/>
  <c r="BZ83" i="2" s="1"/>
  <c r="AM29" i="1"/>
  <c r="AN29" i="1" s="1"/>
  <c r="AQ24" i="1"/>
  <c r="AR24" i="1" s="1"/>
  <c r="AM77" i="1"/>
  <c r="AN77" i="1" s="1"/>
  <c r="AM80" i="1"/>
  <c r="AM37" i="1"/>
  <c r="AN37" i="1" s="1"/>
  <c r="AI66" i="1"/>
  <c r="AJ66" i="1" s="1"/>
  <c r="AM64" i="1"/>
  <c r="AN64" i="1" s="1"/>
  <c r="AM60" i="1"/>
  <c r="AN60" i="1" s="1"/>
  <c r="AI52" i="1"/>
  <c r="AJ52" i="1" s="1"/>
  <c r="AM59" i="1"/>
  <c r="AN59" i="1" s="1"/>
  <c r="AM10" i="1"/>
  <c r="AI29" i="1"/>
  <c r="AI51" i="1"/>
  <c r="AJ51" i="1" s="1"/>
  <c r="AI40" i="1"/>
  <c r="AM32" i="1"/>
  <c r="AN32" i="1" s="1"/>
  <c r="AM8" i="1"/>
  <c r="AN8" i="1" s="1"/>
  <c r="AM33" i="1"/>
  <c r="AN33" i="1" s="1"/>
  <c r="AM53" i="1"/>
  <c r="AN53" i="1" s="1"/>
  <c r="AM44" i="1"/>
  <c r="AN44" i="1" s="1"/>
  <c r="AM35" i="1"/>
  <c r="AN35" i="1" s="1"/>
  <c r="AI42" i="1"/>
  <c r="AJ42" i="1" s="1"/>
  <c r="AI38" i="1"/>
  <c r="AJ38" i="1" s="1"/>
  <c r="AM56" i="1"/>
  <c r="AN56" i="1" s="1"/>
  <c r="AM41" i="1"/>
  <c r="AN41" i="1" s="1"/>
  <c r="AM69" i="1"/>
  <c r="AN69" i="1" s="1"/>
  <c r="AI77" i="1"/>
  <c r="AJ77" i="1" s="1"/>
  <c r="AM5" i="1"/>
  <c r="AM76" i="1"/>
  <c r="AN76" i="1" s="1"/>
  <c r="AM46" i="1"/>
  <c r="AN46" i="1" s="1"/>
  <c r="AM52" i="1"/>
  <c r="AN52" i="1" s="1"/>
  <c r="AI17" i="1"/>
  <c r="AJ17" i="1" s="1"/>
  <c r="AM75" i="1"/>
  <c r="AN75" i="1" s="1"/>
  <c r="AI75" i="1"/>
  <c r="AI62" i="1"/>
  <c r="AJ62" i="1" s="1"/>
  <c r="AM13" i="1"/>
  <c r="AI79" i="1"/>
  <c r="AM66" i="1"/>
  <c r="AI41" i="1"/>
  <c r="AM23" i="1"/>
  <c r="AN23" i="1" s="1"/>
  <c r="AI59" i="1"/>
  <c r="AI26" i="1"/>
  <c r="AQ39" i="1"/>
  <c r="AM43" i="1"/>
  <c r="AI50" i="1"/>
  <c r="AQ53" i="1"/>
  <c r="AR53" i="1" s="1"/>
  <c r="AQ38" i="1"/>
  <c r="AR38" i="1" s="1"/>
  <c r="AM45" i="1"/>
  <c r="AM74" i="1"/>
  <c r="AI67" i="1"/>
  <c r="AQ19" i="1"/>
  <c r="AQ51" i="1"/>
  <c r="AQ17" i="1"/>
  <c r="AQ49" i="1"/>
  <c r="AI56" i="1"/>
  <c r="AI28" i="1"/>
  <c r="AI70" i="1"/>
  <c r="AM71" i="1"/>
  <c r="AI73" i="1"/>
  <c r="AM78" i="1"/>
  <c r="AQ71" i="1"/>
  <c r="AQ18" i="1"/>
  <c r="AR18" i="1" s="1"/>
  <c r="AI33" i="1"/>
  <c r="AI72" i="1"/>
  <c r="AM49" i="1"/>
  <c r="AQ81" i="1"/>
  <c r="AQ35" i="1"/>
  <c r="AM7" i="1"/>
  <c r="AI81" i="1"/>
  <c r="AQ31" i="1"/>
  <c r="AI46" i="1"/>
  <c r="AI45" i="1"/>
  <c r="AI63" i="1"/>
  <c r="AI68" i="1"/>
  <c r="AI54" i="1"/>
  <c r="AI18" i="1"/>
  <c r="AQ79" i="1"/>
  <c r="AM31" i="1"/>
  <c r="AI64" i="1"/>
  <c r="AM50" i="1"/>
  <c r="AM25" i="1"/>
  <c r="AM79" i="1"/>
  <c r="AI48" i="1"/>
  <c r="AM30" i="1"/>
  <c r="AQ37" i="1"/>
  <c r="AR37" i="1" s="1"/>
  <c r="AM42" i="1"/>
  <c r="AI76" i="1"/>
  <c r="AI60" i="1"/>
  <c r="AI34" i="1"/>
  <c r="AI43" i="1"/>
  <c r="AQ78" i="1"/>
  <c r="AI49" i="1"/>
  <c r="AM81" i="1"/>
  <c r="AI25" i="1"/>
  <c r="AI58" i="1"/>
  <c r="AM65" i="1"/>
  <c r="AM62" i="1"/>
  <c r="AI37" i="1"/>
  <c r="AI55" i="1"/>
  <c r="AI4" i="1"/>
  <c r="AQ58" i="1"/>
  <c r="AM57" i="1"/>
  <c r="AM70" i="1"/>
  <c r="AQ45" i="1"/>
  <c r="AI23" i="1"/>
  <c r="AM18" i="1"/>
  <c r="AI10" i="1"/>
  <c r="AM73" i="1"/>
  <c r="AM67" i="1"/>
  <c r="AM38" i="1"/>
  <c r="AI35" i="1"/>
  <c r="AI39" i="1"/>
  <c r="AI21" i="1"/>
  <c r="AM21" i="1"/>
  <c r="AH83" i="1"/>
  <c r="AI11" i="1"/>
  <c r="AM51" i="1"/>
  <c r="AI53" i="1"/>
  <c r="AQ65" i="1"/>
  <c r="AI32" i="1"/>
  <c r="AM24" i="1"/>
  <c r="AI27" i="1"/>
  <c r="AI20" i="1"/>
  <c r="AI74" i="1"/>
  <c r="AI13" i="1"/>
  <c r="AI82" i="1"/>
  <c r="AQ54" i="1"/>
  <c r="AM14" i="1"/>
  <c r="AI30" i="1"/>
  <c r="AM63" i="1"/>
  <c r="AM28" i="1"/>
  <c r="AI9" i="1"/>
  <c r="AM17" i="1"/>
  <c r="AI71" i="1"/>
  <c r="AI14" i="1"/>
  <c r="AK83" i="1"/>
  <c r="AQ68" i="1"/>
  <c r="AQ82" i="1"/>
  <c r="AI31" i="1"/>
  <c r="AM20" i="1"/>
  <c r="AM58" i="1"/>
  <c r="AM27" i="1"/>
  <c r="AM6" i="1"/>
  <c r="AI22" i="1"/>
  <c r="AI16" i="1"/>
  <c r="AQ59" i="1"/>
  <c r="AQ74" i="1"/>
  <c r="AM12" i="1"/>
  <c r="AI8" i="1"/>
  <c r="AG83" i="1"/>
  <c r="AM9" i="1"/>
  <c r="AM16" i="1"/>
  <c r="AI57" i="1"/>
  <c r="AI5" i="1"/>
  <c r="AQ14" i="1"/>
  <c r="AQ50" i="1"/>
  <c r="AM15" i="1"/>
  <c r="AI19" i="1"/>
  <c r="AI44" i="1"/>
  <c r="AQ69" i="1"/>
  <c r="AM55" i="1"/>
  <c r="AI12" i="1"/>
  <c r="AM82" i="1"/>
  <c r="AM4" i="1"/>
  <c r="AM54" i="1"/>
  <c r="AI78" i="1"/>
  <c r="AM48" i="1"/>
  <c r="AQ15" i="1"/>
  <c r="AQ73" i="1"/>
  <c r="AQ43" i="1"/>
  <c r="AQ62" i="1"/>
  <c r="AI6" i="1"/>
  <c r="AI15" i="1"/>
  <c r="AI24" i="1"/>
  <c r="AL83" i="1"/>
  <c r="AQ75" i="1"/>
  <c r="AR75" i="1" s="1"/>
  <c r="AM26" i="1"/>
  <c r="AM68" i="1"/>
  <c r="AM34" i="1"/>
  <c r="AM39" i="1"/>
  <c r="AM40" i="1"/>
  <c r="AI69" i="1"/>
  <c r="AI7" i="1"/>
  <c r="AM72" i="1"/>
  <c r="AM22" i="1"/>
  <c r="AQ70" i="1"/>
  <c r="AQ48" i="1"/>
  <c r="AQ13" i="1"/>
  <c r="AR13" i="1" s="1"/>
  <c r="AQ16" i="1"/>
  <c r="AQ26" i="1"/>
  <c r="AQ42" i="1"/>
  <c r="AQ28" i="1"/>
  <c r="AQ30" i="1"/>
  <c r="AQ21" i="1"/>
  <c r="AQ52" i="1"/>
  <c r="AQ56" i="1"/>
  <c r="AQ66" i="1"/>
  <c r="AQ5" i="1"/>
  <c r="AQ46" i="1"/>
  <c r="AQ72" i="1"/>
  <c r="AQ29" i="1"/>
  <c r="AR29" i="1" s="1"/>
  <c r="AQ40" i="1"/>
  <c r="AQ64" i="1"/>
  <c r="AQ77" i="1"/>
  <c r="AQ80" i="1"/>
  <c r="AQ57" i="1"/>
  <c r="AQ7" i="1"/>
  <c r="AQ44" i="1"/>
  <c r="AQ20" i="1"/>
  <c r="AR20" i="1" s="1"/>
  <c r="AQ34" i="1"/>
  <c r="AQ22" i="1"/>
  <c r="AQ41" i="1"/>
  <c r="AQ33" i="1"/>
  <c r="AQ27" i="1"/>
  <c r="AQ6" i="1"/>
  <c r="AQ55" i="1"/>
  <c r="AQ32" i="1"/>
  <c r="AQ60" i="1"/>
  <c r="AQ67" i="1"/>
  <c r="AR67" i="1" s="1"/>
  <c r="AQ23" i="1"/>
  <c r="AQ76" i="1"/>
  <c r="AQ25" i="1"/>
  <c r="AO83" i="1"/>
  <c r="AP83" i="1"/>
  <c r="AQ10" i="1"/>
  <c r="AQ12" i="1"/>
  <c r="AQ9" i="1"/>
  <c r="AQ4" i="1"/>
  <c r="BO114" i="2" l="1"/>
  <c r="BH114" i="2"/>
  <c r="BG114" i="2"/>
  <c r="AU118" i="2"/>
  <c r="AW36" i="2"/>
  <c r="AY36" i="2" s="1"/>
  <c r="J36" i="1" s="1"/>
  <c r="K36" i="1" s="1"/>
  <c r="AV118" i="2"/>
  <c r="AX36" i="2"/>
  <c r="AZ36" i="2" s="1"/>
  <c r="S36" i="1" s="1"/>
  <c r="T36" i="1" s="1"/>
  <c r="AY115" i="2"/>
  <c r="BV115" i="2" s="1"/>
  <c r="BQ28" i="2"/>
  <c r="BJ28" i="2"/>
  <c r="BW28" i="2"/>
  <c r="AZ115" i="2"/>
  <c r="BW115" i="2" s="1"/>
  <c r="BN28" i="2"/>
  <c r="BF28" i="2"/>
  <c r="BV28" i="2"/>
  <c r="BX114" i="2"/>
  <c r="BZ114" i="2"/>
  <c r="BL117" i="2"/>
  <c r="CA117" i="2"/>
  <c r="BR117" i="2"/>
  <c r="BK117" i="2"/>
  <c r="BY117" i="2"/>
  <c r="BO117" i="2"/>
  <c r="BH117" i="2"/>
  <c r="BG117" i="2"/>
  <c r="BX117" i="2"/>
  <c r="BZ117" i="2"/>
  <c r="BL114" i="2"/>
  <c r="BK114" i="2"/>
  <c r="BY114" i="2"/>
  <c r="BR114" i="2"/>
  <c r="CA114" i="2"/>
  <c r="BO116" i="2"/>
  <c r="BH116" i="2"/>
  <c r="BG116" i="2"/>
  <c r="BX116" i="2"/>
  <c r="BZ116" i="2"/>
  <c r="BZ88" i="2"/>
  <c r="CA88" i="2"/>
  <c r="CA93" i="2"/>
  <c r="AZ113" i="2"/>
  <c r="AV116" i="2"/>
  <c r="CC88" i="2"/>
  <c r="CD88" i="2"/>
  <c r="BT28" i="2"/>
  <c r="BP28" i="2"/>
  <c r="BI28" i="2"/>
  <c r="BU28" i="2"/>
  <c r="BS28" i="2"/>
  <c r="BM28" i="2"/>
  <c r="AY113" i="2"/>
  <c r="AV117" i="2"/>
  <c r="AU117" i="2"/>
  <c r="AU113" i="2"/>
  <c r="AU116" i="2"/>
  <c r="BF115" i="2"/>
  <c r="BN115" i="2"/>
  <c r="BO115" i="2"/>
  <c r="BH115" i="2"/>
  <c r="BG115" i="2"/>
  <c r="BX115" i="2"/>
  <c r="BO113" i="2"/>
  <c r="BH113" i="2"/>
  <c r="BG113" i="2"/>
  <c r="BX113" i="2"/>
  <c r="BR115" i="2"/>
  <c r="BL115" i="2"/>
  <c r="BK115" i="2"/>
  <c r="BY115" i="2"/>
  <c r="BR113" i="2"/>
  <c r="BL113" i="2"/>
  <c r="BK113" i="2"/>
  <c r="BY113" i="2"/>
  <c r="CB89" i="2"/>
  <c r="AW17" i="2"/>
  <c r="AU115" i="2"/>
  <c r="AX6" i="2"/>
  <c r="AZ6" i="2" s="1"/>
  <c r="AV114" i="2"/>
  <c r="AW6" i="2"/>
  <c r="AY6" i="2" s="1"/>
  <c r="AU114" i="2"/>
  <c r="AX17" i="2"/>
  <c r="AV115" i="2"/>
  <c r="BT26" i="2"/>
  <c r="BT27" i="2"/>
  <c r="BT21" i="2"/>
  <c r="BT10" i="2"/>
  <c r="BT25" i="2"/>
  <c r="BT53" i="2"/>
  <c r="BT65" i="2"/>
  <c r="BT73" i="2"/>
  <c r="BT60" i="2"/>
  <c r="BT22" i="2"/>
  <c r="BT17" i="2"/>
  <c r="BT19" i="2"/>
  <c r="BT72" i="2"/>
  <c r="BT38" i="2"/>
  <c r="BU12" i="2"/>
  <c r="BU20" i="2"/>
  <c r="BU59" i="2"/>
  <c r="BT77" i="2"/>
  <c r="BT15" i="2"/>
  <c r="BU53" i="2"/>
  <c r="BU34" i="2"/>
  <c r="BT59" i="2"/>
  <c r="BT35" i="2"/>
  <c r="BU13" i="2"/>
  <c r="BU77" i="2"/>
  <c r="BT69" i="2"/>
  <c r="BT8" i="2"/>
  <c r="BT70" i="2"/>
  <c r="BU69" i="2"/>
  <c r="BU48" i="2"/>
  <c r="BU68" i="2"/>
  <c r="BU19" i="2"/>
  <c r="BT44" i="2"/>
  <c r="BU57" i="2"/>
  <c r="BU25" i="2"/>
  <c r="BU79" i="2"/>
  <c r="BU24" i="2"/>
  <c r="BU82" i="2"/>
  <c r="BU74" i="2"/>
  <c r="BT74" i="2"/>
  <c r="BU40" i="2"/>
  <c r="BU73" i="2"/>
  <c r="BT75" i="2"/>
  <c r="BU46" i="2"/>
  <c r="BU75" i="2"/>
  <c r="BT7" i="2"/>
  <c r="BU65" i="2"/>
  <c r="BT12" i="2"/>
  <c r="BT9" i="2"/>
  <c r="BU15" i="2"/>
  <c r="BT78" i="2"/>
  <c r="BU60" i="2"/>
  <c r="BT68" i="2"/>
  <c r="BU78" i="2"/>
  <c r="BU16" i="2"/>
  <c r="BU35" i="2"/>
  <c r="BU30" i="2"/>
  <c r="BT48" i="2"/>
  <c r="BU80" i="2"/>
  <c r="BT64" i="2"/>
  <c r="BT80" i="2"/>
  <c r="BT34" i="2"/>
  <c r="BT57" i="2"/>
  <c r="BU22" i="2"/>
  <c r="BU52" i="2"/>
  <c r="BU71" i="2"/>
  <c r="BT76" i="2"/>
  <c r="BU21" i="2"/>
  <c r="BT16" i="2"/>
  <c r="BU56" i="2"/>
  <c r="BU29" i="2"/>
  <c r="BU44" i="2"/>
  <c r="BU41" i="2"/>
  <c r="BU14" i="2"/>
  <c r="BU8" i="2"/>
  <c r="BU76" i="2"/>
  <c r="BU17" i="2"/>
  <c r="BT46" i="2"/>
  <c r="BU9" i="2"/>
  <c r="BT14" i="2"/>
  <c r="BT40" i="2"/>
  <c r="BU26" i="2"/>
  <c r="BU37" i="2"/>
  <c r="BU70" i="2"/>
  <c r="BU72" i="2"/>
  <c r="BT30" i="2"/>
  <c r="BT20" i="2"/>
  <c r="BU10" i="2"/>
  <c r="BT13" i="2"/>
  <c r="BT24" i="2"/>
  <c r="BU64" i="2"/>
  <c r="BU7" i="2"/>
  <c r="BU27" i="2"/>
  <c r="BU38" i="2"/>
  <c r="BX88" i="2"/>
  <c r="BY88" i="2"/>
  <c r="BS7" i="2"/>
  <c r="BR83" i="2"/>
  <c r="BY83" i="2"/>
  <c r="BS8" i="2"/>
  <c r="BO97" i="2"/>
  <c r="BX97" i="2"/>
  <c r="BO103" i="2"/>
  <c r="BX103" i="2"/>
  <c r="BO96" i="2"/>
  <c r="BX96" i="2"/>
  <c r="BO100" i="2"/>
  <c r="BX100" i="2"/>
  <c r="BO95" i="2"/>
  <c r="BX95" i="2"/>
  <c r="BR92" i="2"/>
  <c r="BY92" i="2"/>
  <c r="BR96" i="2"/>
  <c r="BY96" i="2"/>
  <c r="BR100" i="2"/>
  <c r="BY100" i="2"/>
  <c r="BR95" i="2"/>
  <c r="BY95" i="2"/>
  <c r="BO83" i="2"/>
  <c r="BX83" i="2"/>
  <c r="BR97" i="2"/>
  <c r="BY97" i="2"/>
  <c r="BR103" i="2"/>
  <c r="BY103" i="2"/>
  <c r="BO90" i="2"/>
  <c r="BX90" i="2"/>
  <c r="BR90" i="2"/>
  <c r="BY90" i="2"/>
  <c r="BO92" i="2"/>
  <c r="BX92" i="2"/>
  <c r="BP10" i="2"/>
  <c r="BP68" i="2"/>
  <c r="BS10" i="2"/>
  <c r="BS34" i="2"/>
  <c r="BS60" i="2"/>
  <c r="BP48" i="2"/>
  <c r="BP14" i="2"/>
  <c r="BP59" i="2"/>
  <c r="BP78" i="2"/>
  <c r="BS70" i="2"/>
  <c r="BP72" i="2"/>
  <c r="BP25" i="2"/>
  <c r="BP70" i="2"/>
  <c r="BI70" i="2"/>
  <c r="BS30" i="2"/>
  <c r="BS26" i="2"/>
  <c r="BM44" i="2"/>
  <c r="BS75" i="2"/>
  <c r="BP46" i="2"/>
  <c r="BS21" i="2"/>
  <c r="BP16" i="2"/>
  <c r="BP40" i="2"/>
  <c r="CB88" i="2"/>
  <c r="CE88" i="2"/>
  <c r="BS20" i="2"/>
  <c r="BS64" i="2"/>
  <c r="BS27" i="2"/>
  <c r="BP15" i="2"/>
  <c r="BP24" i="2"/>
  <c r="BS38" i="2"/>
  <c r="BP35" i="2"/>
  <c r="BS24" i="2"/>
  <c r="BS59" i="2"/>
  <c r="BP53" i="2"/>
  <c r="BS12" i="2"/>
  <c r="BS15" i="2"/>
  <c r="BS82" i="2"/>
  <c r="BP17" i="2"/>
  <c r="BS46" i="2"/>
  <c r="BP65" i="2"/>
  <c r="BS22" i="2"/>
  <c r="AH91" i="1"/>
  <c r="AG91" i="1"/>
  <c r="AI92" i="1"/>
  <c r="AJ92" i="1" s="1"/>
  <c r="AI96" i="1"/>
  <c r="AI95" i="1"/>
  <c r="AI100" i="1"/>
  <c r="AI101" i="1" s="1"/>
  <c r="AI90" i="1"/>
  <c r="AJ90" i="1" s="1"/>
  <c r="AM100" i="1"/>
  <c r="AM101" i="1" s="1"/>
  <c r="AM95" i="1"/>
  <c r="AM90" i="1"/>
  <c r="AN90" i="1" s="1"/>
  <c r="AP101" i="1"/>
  <c r="AI103" i="1"/>
  <c r="AI102" i="1" s="1"/>
  <c r="AT11" i="1"/>
  <c r="AM92" i="1"/>
  <c r="AN92" i="1" s="1"/>
  <c r="AQ95" i="1"/>
  <c r="AQ100" i="1"/>
  <c r="AQ101" i="1" s="1"/>
  <c r="AQ90" i="1"/>
  <c r="AR90" i="1" s="1"/>
  <c r="AN10" i="1"/>
  <c r="AM97" i="1"/>
  <c r="AK91" i="1"/>
  <c r="AM103" i="1"/>
  <c r="AM102" i="1" s="1"/>
  <c r="AQ92" i="1"/>
  <c r="AR92" i="1" s="1"/>
  <c r="AI97" i="1"/>
  <c r="AL91" i="1"/>
  <c r="AP91" i="1"/>
  <c r="AN5" i="1"/>
  <c r="AM96" i="1"/>
  <c r="AR12" i="1"/>
  <c r="AQ103" i="1"/>
  <c r="AQ102" i="1" s="1"/>
  <c r="AR10" i="1"/>
  <c r="AQ97" i="1"/>
  <c r="AR97" i="1" s="1"/>
  <c r="AQ96" i="1"/>
  <c r="AR96" i="1" s="1"/>
  <c r="AP102" i="1"/>
  <c r="AO91" i="1"/>
  <c r="BN56" i="2"/>
  <c r="BV56" i="2"/>
  <c r="BW45" i="2"/>
  <c r="BQ45" i="2"/>
  <c r="BI74" i="2"/>
  <c r="BP74" i="2"/>
  <c r="BM73" i="2"/>
  <c r="BS73" i="2"/>
  <c r="BI75" i="2"/>
  <c r="BP75" i="2"/>
  <c r="BS72" i="2"/>
  <c r="BS40" i="2"/>
  <c r="BN81" i="2"/>
  <c r="BV81" i="2"/>
  <c r="BQ51" i="2"/>
  <c r="BW51" i="2"/>
  <c r="BQ58" i="2"/>
  <c r="BW58" i="2"/>
  <c r="BV37" i="2"/>
  <c r="BN37" i="2"/>
  <c r="BP80" i="2"/>
  <c r="BP76" i="2"/>
  <c r="BS68" i="2"/>
  <c r="BS19" i="2"/>
  <c r="BS80" i="2"/>
  <c r="BP44" i="2"/>
  <c r="BS65" i="2"/>
  <c r="BP21" i="2"/>
  <c r="BP7" i="2"/>
  <c r="BW18" i="2"/>
  <c r="BQ18" i="2"/>
  <c r="BS53" i="2"/>
  <c r="BS13" i="2"/>
  <c r="BV58" i="2"/>
  <c r="BN58" i="2"/>
  <c r="BW49" i="2"/>
  <c r="BQ49" i="2"/>
  <c r="BN67" i="2"/>
  <c r="BV67" i="2"/>
  <c r="BP20" i="2"/>
  <c r="BS77" i="2"/>
  <c r="BN33" i="2"/>
  <c r="BV33" i="2"/>
  <c r="BQ55" i="2"/>
  <c r="BW55" i="2"/>
  <c r="BP69" i="2"/>
  <c r="BP8" i="2"/>
  <c r="BM69" i="2"/>
  <c r="BS69" i="2"/>
  <c r="BP13" i="2"/>
  <c r="BQ66" i="2"/>
  <c r="BW66" i="2"/>
  <c r="BN54" i="2"/>
  <c r="BV54" i="2"/>
  <c r="BV79" i="2"/>
  <c r="BN79" i="2"/>
  <c r="BP34" i="2"/>
  <c r="BP12" i="2"/>
  <c r="BP9" i="2"/>
  <c r="BP77" i="2"/>
  <c r="BS16" i="2"/>
  <c r="BQ63" i="2"/>
  <c r="BW63" i="2"/>
  <c r="BV82" i="2"/>
  <c r="BN82" i="2"/>
  <c r="BP73" i="2"/>
  <c r="BS78" i="2"/>
  <c r="BS35" i="2"/>
  <c r="BP64" i="2"/>
  <c r="BS44" i="2"/>
  <c r="BV71" i="2"/>
  <c r="BN71" i="2"/>
  <c r="BQ33" i="2"/>
  <c r="BW33" i="2"/>
  <c r="BV29" i="2"/>
  <c r="BN29" i="2"/>
  <c r="BP57" i="2"/>
  <c r="BV45" i="2"/>
  <c r="BN45" i="2"/>
  <c r="BQ42" i="2"/>
  <c r="BW42" i="2"/>
  <c r="BV42" i="2"/>
  <c r="BN42" i="2"/>
  <c r="BQ31" i="2"/>
  <c r="BW31" i="2"/>
  <c r="BN62" i="2"/>
  <c r="BV62" i="2"/>
  <c r="BI27" i="2"/>
  <c r="BP27" i="2"/>
  <c r="BS29" i="2"/>
  <c r="BS9" i="2"/>
  <c r="BQ81" i="2"/>
  <c r="BW81" i="2"/>
  <c r="BN66" i="2"/>
  <c r="BV66" i="2"/>
  <c r="BM48" i="2"/>
  <c r="BS48" i="2"/>
  <c r="BV18" i="2"/>
  <c r="BN18" i="2"/>
  <c r="BM56" i="2"/>
  <c r="BS56" i="2"/>
  <c r="BM52" i="2"/>
  <c r="BS52" i="2"/>
  <c r="BI60" i="2"/>
  <c r="BP60" i="2"/>
  <c r="BM41" i="2"/>
  <c r="BS41" i="2"/>
  <c r="BI22" i="2"/>
  <c r="BP22" i="2"/>
  <c r="BI26" i="2"/>
  <c r="BP26" i="2"/>
  <c r="BS71" i="2"/>
  <c r="BS79" i="2"/>
  <c r="BN41" i="2"/>
  <c r="BV41" i="2"/>
  <c r="BV49" i="2"/>
  <c r="BN49" i="2"/>
  <c r="BN31" i="2"/>
  <c r="BV31" i="2"/>
  <c r="BP38" i="2"/>
  <c r="BP30" i="2"/>
  <c r="BQ54" i="2"/>
  <c r="BW54" i="2"/>
  <c r="BW67" i="2"/>
  <c r="BQ67" i="2"/>
  <c r="BS74" i="2"/>
  <c r="BS57" i="2"/>
  <c r="BQ32" i="2"/>
  <c r="BW32" i="2"/>
  <c r="BS25" i="2"/>
  <c r="BN51" i="2"/>
  <c r="BV51" i="2"/>
  <c r="BV55" i="2"/>
  <c r="BN55" i="2"/>
  <c r="BM14" i="2"/>
  <c r="BS14" i="2"/>
  <c r="BN52" i="2"/>
  <c r="BV52" i="2"/>
  <c r="BN32" i="2"/>
  <c r="BV32" i="2"/>
  <c r="BP19" i="2"/>
  <c r="BS76" i="2"/>
  <c r="BS17" i="2"/>
  <c r="BV63" i="2"/>
  <c r="BN63" i="2"/>
  <c r="BW62" i="2"/>
  <c r="BQ62" i="2"/>
  <c r="BM37" i="2"/>
  <c r="BS37" i="2"/>
  <c r="BI20" i="2"/>
  <c r="BI68" i="2"/>
  <c r="BM35" i="2"/>
  <c r="BI64" i="2"/>
  <c r="BM82" i="2"/>
  <c r="BM74" i="2"/>
  <c r="BI17" i="2"/>
  <c r="BM77" i="2"/>
  <c r="BM60" i="2"/>
  <c r="BI48" i="2"/>
  <c r="BI80" i="2"/>
  <c r="BM24" i="2"/>
  <c r="BM59" i="2"/>
  <c r="BI38" i="2"/>
  <c r="BM20" i="2"/>
  <c r="BI76" i="2"/>
  <c r="BM40" i="2"/>
  <c r="BI73" i="2"/>
  <c r="BI13" i="2"/>
  <c r="BI19" i="2"/>
  <c r="BM76" i="2"/>
  <c r="BM17" i="2"/>
  <c r="BI46" i="2"/>
  <c r="BM21" i="2"/>
  <c r="BI16" i="2"/>
  <c r="BI14" i="2"/>
  <c r="BI40" i="2"/>
  <c r="BI77" i="2"/>
  <c r="BI15" i="2"/>
  <c r="BM70" i="2"/>
  <c r="BM79" i="2"/>
  <c r="BI72" i="2"/>
  <c r="BM72" i="2"/>
  <c r="BI25" i="2"/>
  <c r="BM75" i="2"/>
  <c r="BM34" i="2"/>
  <c r="BI59" i="2"/>
  <c r="BM38" i="2"/>
  <c r="BI7" i="2"/>
  <c r="BM13" i="2"/>
  <c r="BM64" i="2"/>
  <c r="AV100" i="2"/>
  <c r="AV95" i="2"/>
  <c r="AX95" i="2" s="1"/>
  <c r="BI57" i="2"/>
  <c r="BG97" i="2"/>
  <c r="BH97" i="2"/>
  <c r="BI34" i="2"/>
  <c r="BM68" i="2"/>
  <c r="BM46" i="2"/>
  <c r="BK83" i="2"/>
  <c r="BL83" i="2"/>
  <c r="BM65" i="2"/>
  <c r="BI12" i="2"/>
  <c r="BI9" i="2"/>
  <c r="BI78" i="2"/>
  <c r="BM19" i="2"/>
  <c r="BM80" i="2"/>
  <c r="BI21" i="2"/>
  <c r="BM57" i="2"/>
  <c r="BM25" i="2"/>
  <c r="BK96" i="2"/>
  <c r="BL96" i="2"/>
  <c r="BI44" i="2"/>
  <c r="BM15" i="2"/>
  <c r="BM30" i="2"/>
  <c r="AX5" i="2"/>
  <c r="AZ5" i="2" s="1"/>
  <c r="AV96" i="2"/>
  <c r="AX96" i="2" s="1"/>
  <c r="BM26" i="2"/>
  <c r="BG83" i="2"/>
  <c r="BH83" i="2"/>
  <c r="AI91" i="2"/>
  <c r="CA91" i="2" s="1"/>
  <c r="BK92" i="2"/>
  <c r="BL92" i="2"/>
  <c r="AH102" i="2"/>
  <c r="BZ102" i="2" s="1"/>
  <c r="BG103" i="2"/>
  <c r="BH103" i="2"/>
  <c r="BH96" i="2"/>
  <c r="BG96" i="2"/>
  <c r="BM78" i="2"/>
  <c r="AI101" i="2"/>
  <c r="CA101" i="2" s="1"/>
  <c r="BL100" i="2"/>
  <c r="BK100" i="2"/>
  <c r="BM29" i="2"/>
  <c r="BM16" i="2"/>
  <c r="BK95" i="2"/>
  <c r="BL95" i="2"/>
  <c r="BM8" i="2"/>
  <c r="BG95" i="2"/>
  <c r="BH95" i="2"/>
  <c r="BM71" i="2"/>
  <c r="AX10" i="2"/>
  <c r="AV97" i="2"/>
  <c r="AX97" i="2" s="1"/>
  <c r="BI65" i="2"/>
  <c r="BI53" i="2"/>
  <c r="BM10" i="2"/>
  <c r="AH91" i="2"/>
  <c r="BZ91" i="2" s="1"/>
  <c r="BG92" i="2"/>
  <c r="BH92" i="2"/>
  <c r="AW10" i="2"/>
  <c r="AU97" i="2"/>
  <c r="AW97" i="2" s="1"/>
  <c r="BM9" i="2"/>
  <c r="AW5" i="2"/>
  <c r="AY5" i="2" s="1"/>
  <c r="AU96" i="2"/>
  <c r="AW96" i="2" s="1"/>
  <c r="BI69" i="2"/>
  <c r="BK90" i="2"/>
  <c r="BL90" i="2"/>
  <c r="BM53" i="2"/>
  <c r="BM12" i="2"/>
  <c r="BI24" i="2"/>
  <c r="BI30" i="2"/>
  <c r="BM7" i="2"/>
  <c r="BM27" i="2"/>
  <c r="BG90" i="2"/>
  <c r="BH90" i="2"/>
  <c r="AU100" i="2"/>
  <c r="AU95" i="2"/>
  <c r="AW95" i="2" s="1"/>
  <c r="BM22" i="2"/>
  <c r="AH101" i="2"/>
  <c r="BZ101" i="2" s="1"/>
  <c r="BG100" i="2"/>
  <c r="BH100" i="2"/>
  <c r="AX12" i="2"/>
  <c r="AV103" i="2"/>
  <c r="BI10" i="2"/>
  <c r="BI8" i="2"/>
  <c r="BK97" i="2"/>
  <c r="BL97" i="2"/>
  <c r="AI102" i="2"/>
  <c r="CA102" i="2" s="1"/>
  <c r="BK103" i="2"/>
  <c r="BL103" i="2"/>
  <c r="BI35" i="2"/>
  <c r="AU103" i="2"/>
  <c r="J31" i="1"/>
  <c r="K31" i="1" s="1"/>
  <c r="BF31" i="2"/>
  <c r="BT31" i="2" s="1"/>
  <c r="S63" i="1"/>
  <c r="T63" i="1" s="1"/>
  <c r="BJ63" i="2"/>
  <c r="J71" i="1"/>
  <c r="K71" i="1" s="1"/>
  <c r="BF71" i="2"/>
  <c r="BT71" i="2" s="1"/>
  <c r="S18" i="1"/>
  <c r="T18" i="1" s="1"/>
  <c r="BJ18" i="2"/>
  <c r="S54" i="1"/>
  <c r="T54" i="1" s="1"/>
  <c r="BJ54" i="2"/>
  <c r="J58" i="1"/>
  <c r="K58" i="1" s="1"/>
  <c r="BF58" i="2"/>
  <c r="BT58" i="2" s="1"/>
  <c r="S67" i="1"/>
  <c r="T67" i="1" s="1"/>
  <c r="BJ67" i="2"/>
  <c r="S49" i="1"/>
  <c r="BJ49" i="2"/>
  <c r="J67" i="1"/>
  <c r="K67" i="1" s="1"/>
  <c r="BF67" i="2"/>
  <c r="BT67" i="2" s="1"/>
  <c r="J33" i="1"/>
  <c r="K33" i="1" s="1"/>
  <c r="BF33" i="2"/>
  <c r="BT33" i="2" s="1"/>
  <c r="J82" i="1"/>
  <c r="K82" i="1" s="1"/>
  <c r="BF82" i="2"/>
  <c r="BT82" i="2" s="1"/>
  <c r="S32" i="1"/>
  <c r="T32" i="1" s="1"/>
  <c r="BJ32" i="2"/>
  <c r="J66" i="1"/>
  <c r="K66" i="1" s="1"/>
  <c r="BF66" i="2"/>
  <c r="BT66" i="2" s="1"/>
  <c r="S55" i="1"/>
  <c r="T55" i="1" s="1"/>
  <c r="BJ55" i="2"/>
  <c r="S33" i="1"/>
  <c r="T33" i="1" s="1"/>
  <c r="BJ33" i="2"/>
  <c r="S66" i="1"/>
  <c r="T66" i="1" s="1"/>
  <c r="BJ66" i="2"/>
  <c r="S58" i="1"/>
  <c r="T58" i="1" s="1"/>
  <c r="BJ58" i="2"/>
  <c r="BU58" i="2" s="1"/>
  <c r="J37" i="1"/>
  <c r="K37" i="1" s="1"/>
  <c r="BF37" i="2"/>
  <c r="BT37" i="2" s="1"/>
  <c r="J56" i="1"/>
  <c r="K56" i="1" s="1"/>
  <c r="BF56" i="2"/>
  <c r="S45" i="1"/>
  <c r="T45" i="1" s="1"/>
  <c r="BJ45" i="2"/>
  <c r="J54" i="1"/>
  <c r="K54" i="1" s="1"/>
  <c r="BF54" i="2"/>
  <c r="BT54" i="2" s="1"/>
  <c r="J51" i="1"/>
  <c r="K51" i="1" s="1"/>
  <c r="BF51" i="2"/>
  <c r="BT51" i="2" s="1"/>
  <c r="J81" i="1"/>
  <c r="K81" i="1" s="1"/>
  <c r="BF81" i="2"/>
  <c r="BT81" i="2" s="1"/>
  <c r="S51" i="1"/>
  <c r="T51" i="1" s="1"/>
  <c r="BJ51" i="2"/>
  <c r="BU51" i="2" s="1"/>
  <c r="AX4" i="2"/>
  <c r="AV90" i="2"/>
  <c r="AX90" i="2" s="1"/>
  <c r="J79" i="1"/>
  <c r="K79" i="1" s="1"/>
  <c r="BF79" i="2"/>
  <c r="BT79" i="2" s="1"/>
  <c r="AW4" i="2"/>
  <c r="AU90" i="2"/>
  <c r="AW90" i="2" s="1"/>
  <c r="J29" i="1"/>
  <c r="BF29" i="2"/>
  <c r="BT29" i="2" s="1"/>
  <c r="J45" i="1"/>
  <c r="K45" i="1" s="1"/>
  <c r="BF45" i="2"/>
  <c r="BT45" i="2" s="1"/>
  <c r="AX11" i="2"/>
  <c r="AZ11" i="2" s="1"/>
  <c r="AV92" i="2"/>
  <c r="AX92" i="2" s="1"/>
  <c r="J18" i="1"/>
  <c r="K18" i="1" s="1"/>
  <c r="BF18" i="2"/>
  <c r="BT18" i="2" s="1"/>
  <c r="J42" i="1"/>
  <c r="K42" i="1" s="1"/>
  <c r="BF42" i="2"/>
  <c r="J62" i="1"/>
  <c r="K62" i="1" s="1"/>
  <c r="BF62" i="2"/>
  <c r="BT62" i="2" s="1"/>
  <c r="J55" i="1"/>
  <c r="K55" i="1" s="1"/>
  <c r="BF55" i="2"/>
  <c r="BT55" i="2" s="1"/>
  <c r="J52" i="1"/>
  <c r="K52" i="1" s="1"/>
  <c r="BF52" i="2"/>
  <c r="BT52" i="2" s="1"/>
  <c r="J28" i="1"/>
  <c r="K28" i="1" s="1"/>
  <c r="J32" i="1"/>
  <c r="K32" i="1" s="1"/>
  <c r="BF32" i="2"/>
  <c r="BT32" i="2" s="1"/>
  <c r="AW11" i="2"/>
  <c r="AY11" i="2" s="1"/>
  <c r="AU92" i="2"/>
  <c r="AW92" i="2" s="1"/>
  <c r="S31" i="1"/>
  <c r="BJ31" i="2"/>
  <c r="S28" i="1"/>
  <c r="T28" i="1" s="1"/>
  <c r="J63" i="1"/>
  <c r="K63" i="1" s="1"/>
  <c r="BF63" i="2"/>
  <c r="S62" i="1"/>
  <c r="T62" i="1" s="1"/>
  <c r="BJ62" i="2"/>
  <c r="S42" i="1"/>
  <c r="T42" i="1" s="1"/>
  <c r="BJ42" i="2"/>
  <c r="J41" i="1"/>
  <c r="K41" i="1" s="1"/>
  <c r="BF41" i="2"/>
  <c r="BT41" i="2" s="1"/>
  <c r="S81" i="1"/>
  <c r="T81" i="1" s="1"/>
  <c r="BJ81" i="2"/>
  <c r="J49" i="1"/>
  <c r="K49" i="1" s="1"/>
  <c r="BF49" i="2"/>
  <c r="AZ43" i="2"/>
  <c r="AY43" i="2"/>
  <c r="AN11" i="1"/>
  <c r="AS80" i="1"/>
  <c r="BW80" i="1" s="1"/>
  <c r="AS29" i="1"/>
  <c r="BW29" i="1" s="1"/>
  <c r="AU83" i="2"/>
  <c r="AV83" i="2"/>
  <c r="AS65" i="1"/>
  <c r="BW65" i="1" s="1"/>
  <c r="AS40" i="1"/>
  <c r="BW40" i="1" s="1"/>
  <c r="AN80" i="1"/>
  <c r="AJ29" i="1"/>
  <c r="AR74" i="1"/>
  <c r="AS66" i="1"/>
  <c r="BW66" i="1" s="1"/>
  <c r="AT44" i="1"/>
  <c r="BX44" i="1" s="1"/>
  <c r="CG44" i="1" s="1"/>
  <c r="AS41" i="1"/>
  <c r="AS42" i="1"/>
  <c r="AS79" i="1"/>
  <c r="AT69" i="1"/>
  <c r="BX69" i="1" s="1"/>
  <c r="CG69" i="1" s="1"/>
  <c r="AJ40" i="1"/>
  <c r="AJ79" i="1"/>
  <c r="AT32" i="1"/>
  <c r="BX32" i="1" s="1"/>
  <c r="CG32" i="1" s="1"/>
  <c r="AT56" i="1"/>
  <c r="BX56" i="1" s="1"/>
  <c r="CG56" i="1" s="1"/>
  <c r="AR39" i="1"/>
  <c r="AT35" i="1"/>
  <c r="BX35" i="1" s="1"/>
  <c r="CG35" i="1" s="1"/>
  <c r="AT46" i="1"/>
  <c r="BX46" i="1" s="1"/>
  <c r="CG46" i="1" s="1"/>
  <c r="AS52" i="1"/>
  <c r="AT53" i="1"/>
  <c r="BX53" i="1" s="1"/>
  <c r="CG53" i="1" s="1"/>
  <c r="AS77" i="1"/>
  <c r="AT52" i="1"/>
  <c r="BX52" i="1" s="1"/>
  <c r="CG52" i="1" s="1"/>
  <c r="AT41" i="1"/>
  <c r="BX41" i="1" s="1"/>
  <c r="CG41" i="1" s="1"/>
  <c r="AT8" i="1"/>
  <c r="BX8" i="1" s="1"/>
  <c r="CG8" i="1" s="1"/>
  <c r="AT5" i="1"/>
  <c r="BX5" i="1" s="1"/>
  <c r="CG5" i="1" s="1"/>
  <c r="AT29" i="1"/>
  <c r="BX29" i="1" s="1"/>
  <c r="CG29" i="1" s="1"/>
  <c r="AJ20" i="1"/>
  <c r="AS20" i="1"/>
  <c r="AJ59" i="1"/>
  <c r="AS59" i="1"/>
  <c r="AN39" i="1"/>
  <c r="AT39" i="1"/>
  <c r="AN9" i="1"/>
  <c r="AT9" i="1"/>
  <c r="AJ13" i="1"/>
  <c r="AS13" i="1"/>
  <c r="AJ21" i="1"/>
  <c r="AS21" i="1"/>
  <c r="AJ55" i="1"/>
  <c r="AS55" i="1"/>
  <c r="AN42" i="1"/>
  <c r="AT42" i="1"/>
  <c r="BX42" i="1" s="1"/>
  <c r="CG42" i="1" s="1"/>
  <c r="AJ45" i="1"/>
  <c r="AS45" i="1"/>
  <c r="AN71" i="1"/>
  <c r="AT71" i="1"/>
  <c r="BX71" i="1" s="1"/>
  <c r="CG71" i="1" s="1"/>
  <c r="AJ50" i="1"/>
  <c r="AS50" i="1"/>
  <c r="AT64" i="1"/>
  <c r="BX64" i="1" s="1"/>
  <c r="CG64" i="1" s="1"/>
  <c r="AT37" i="1"/>
  <c r="BX37" i="1" s="1"/>
  <c r="CG37" i="1" s="1"/>
  <c r="AJ75" i="1"/>
  <c r="AS75" i="1"/>
  <c r="AN34" i="1"/>
  <c r="AT34" i="1"/>
  <c r="BX34" i="1" s="1"/>
  <c r="CG34" i="1" s="1"/>
  <c r="AJ74" i="1"/>
  <c r="AS74" i="1"/>
  <c r="AJ70" i="1"/>
  <c r="AS70" i="1"/>
  <c r="AJ44" i="1"/>
  <c r="AS44" i="1"/>
  <c r="AJ14" i="1"/>
  <c r="AS14" i="1"/>
  <c r="AT10" i="1"/>
  <c r="BX10" i="1" s="1"/>
  <c r="CG10" i="1" s="1"/>
  <c r="AN15" i="1"/>
  <c r="AT15" i="1"/>
  <c r="BX15" i="1" s="1"/>
  <c r="CG15" i="1" s="1"/>
  <c r="AN79" i="1"/>
  <c r="AT79" i="1"/>
  <c r="BX79" i="1" s="1"/>
  <c r="CG79" i="1" s="1"/>
  <c r="AJ78" i="1"/>
  <c r="AS78" i="1"/>
  <c r="AJ39" i="1"/>
  <c r="AS39" i="1"/>
  <c r="BW39" i="1" s="1"/>
  <c r="AJ46" i="1"/>
  <c r="AS46" i="1"/>
  <c r="AJ35" i="1"/>
  <c r="AS35" i="1"/>
  <c r="AN30" i="1"/>
  <c r="AT30" i="1"/>
  <c r="BX30" i="1" s="1"/>
  <c r="CG30" i="1" s="1"/>
  <c r="AR42" i="1"/>
  <c r="AN26" i="1"/>
  <c r="AT26" i="1"/>
  <c r="BX26" i="1" s="1"/>
  <c r="CG26" i="1" s="1"/>
  <c r="AJ19" i="1"/>
  <c r="AS19" i="1"/>
  <c r="AJ8" i="1"/>
  <c r="AS8" i="1"/>
  <c r="AN38" i="1"/>
  <c r="AT38" i="1"/>
  <c r="BX38" i="1" s="1"/>
  <c r="CG38" i="1" s="1"/>
  <c r="AN65" i="1"/>
  <c r="AT65" i="1"/>
  <c r="BX65" i="1" s="1"/>
  <c r="CG65" i="1" s="1"/>
  <c r="AJ48" i="1"/>
  <c r="AS48" i="1"/>
  <c r="AJ81" i="1"/>
  <c r="AS81" i="1"/>
  <c r="AJ56" i="1"/>
  <c r="AS56" i="1"/>
  <c r="AN12" i="1"/>
  <c r="AT12" i="1"/>
  <c r="AJ71" i="1"/>
  <c r="AS71" i="1"/>
  <c r="AN24" i="1"/>
  <c r="AT24" i="1"/>
  <c r="BX24" i="1" s="1"/>
  <c r="CG24" i="1" s="1"/>
  <c r="AN67" i="1"/>
  <c r="AT67" i="1"/>
  <c r="BX67" i="1" s="1"/>
  <c r="CG67" i="1" s="1"/>
  <c r="AN7" i="1"/>
  <c r="AT7" i="1"/>
  <c r="BX7" i="1" s="1"/>
  <c r="CG7" i="1" s="1"/>
  <c r="AJ32" i="1"/>
  <c r="AS32" i="1"/>
  <c r="AN73" i="1"/>
  <c r="AT73" i="1"/>
  <c r="BX73" i="1" s="1"/>
  <c r="CG73" i="1" s="1"/>
  <c r="AJ25" i="1"/>
  <c r="AS25" i="1"/>
  <c r="AN25" i="1"/>
  <c r="AT25" i="1"/>
  <c r="BX25" i="1" s="1"/>
  <c r="CG25" i="1" s="1"/>
  <c r="AN54" i="1"/>
  <c r="AT54" i="1"/>
  <c r="BX54" i="1" s="1"/>
  <c r="CG54" i="1" s="1"/>
  <c r="AJ9" i="1"/>
  <c r="AS9" i="1"/>
  <c r="AN81" i="1"/>
  <c r="AT81" i="1"/>
  <c r="BX81" i="1" s="1"/>
  <c r="CG81" i="1" s="1"/>
  <c r="AJ16" i="1"/>
  <c r="AS16" i="1"/>
  <c r="AN28" i="1"/>
  <c r="AT28" i="1"/>
  <c r="BX28" i="1" s="1"/>
  <c r="CG28" i="1" s="1"/>
  <c r="AN18" i="1"/>
  <c r="AT18" i="1"/>
  <c r="BX18" i="1" s="1"/>
  <c r="CG18" i="1" s="1"/>
  <c r="AJ49" i="1"/>
  <c r="AS49" i="1"/>
  <c r="AJ64" i="1"/>
  <c r="AS64" i="1"/>
  <c r="AN49" i="1"/>
  <c r="AT49" i="1"/>
  <c r="AT60" i="1"/>
  <c r="BX60" i="1" s="1"/>
  <c r="CG60" i="1" s="1"/>
  <c r="AT23" i="1"/>
  <c r="BX23" i="1" s="1"/>
  <c r="CG23" i="1" s="1"/>
  <c r="AN22" i="1"/>
  <c r="AT22" i="1"/>
  <c r="AJ24" i="1"/>
  <c r="AS24" i="1"/>
  <c r="AJ5" i="1"/>
  <c r="AS5" i="1"/>
  <c r="AN63" i="1"/>
  <c r="AT63" i="1"/>
  <c r="BX63" i="1" s="1"/>
  <c r="CG63" i="1" s="1"/>
  <c r="AJ23" i="1"/>
  <c r="AS23" i="1"/>
  <c r="AN31" i="1"/>
  <c r="AT31" i="1"/>
  <c r="BX31" i="1" s="1"/>
  <c r="CG31" i="1" s="1"/>
  <c r="AT80" i="1"/>
  <c r="BX80" i="1" s="1"/>
  <c r="CG80" i="1" s="1"/>
  <c r="AT76" i="1"/>
  <c r="BX76" i="1" s="1"/>
  <c r="CG76" i="1" s="1"/>
  <c r="AN72" i="1"/>
  <c r="AT72" i="1"/>
  <c r="BX72" i="1" s="1"/>
  <c r="CG72" i="1" s="1"/>
  <c r="AN82" i="1"/>
  <c r="AT82" i="1"/>
  <c r="BX82" i="1" s="1"/>
  <c r="CG82" i="1" s="1"/>
  <c r="AJ30" i="1"/>
  <c r="AS30" i="1"/>
  <c r="AJ67" i="1"/>
  <c r="AS67" i="1"/>
  <c r="AR51" i="1"/>
  <c r="AJ7" i="1"/>
  <c r="AS7" i="1"/>
  <c r="AJ6" i="1"/>
  <c r="AS6" i="1"/>
  <c r="AJ57" i="1"/>
  <c r="AS57" i="1"/>
  <c r="AN27" i="1"/>
  <c r="AT27" i="1"/>
  <c r="BX27" i="1" s="1"/>
  <c r="CG27" i="1" s="1"/>
  <c r="AN14" i="1"/>
  <c r="AT14" i="1"/>
  <c r="BX14" i="1" s="1"/>
  <c r="CG14" i="1" s="1"/>
  <c r="AN70" i="1"/>
  <c r="AT70" i="1"/>
  <c r="BX70" i="1" s="1"/>
  <c r="CG70" i="1" s="1"/>
  <c r="AJ43" i="1"/>
  <c r="AS43" i="1"/>
  <c r="AJ18" i="1"/>
  <c r="AS18" i="1"/>
  <c r="AN74" i="1"/>
  <c r="AT74" i="1"/>
  <c r="BX74" i="1" s="1"/>
  <c r="CG74" i="1" s="1"/>
  <c r="AJ37" i="1"/>
  <c r="AS37" i="1"/>
  <c r="AN68" i="1"/>
  <c r="AT68" i="1"/>
  <c r="BX68" i="1" s="1"/>
  <c r="CG68" i="1" s="1"/>
  <c r="AN62" i="1"/>
  <c r="AT62" i="1"/>
  <c r="BX62" i="1" s="1"/>
  <c r="CG62" i="1" s="1"/>
  <c r="AJ28" i="1"/>
  <c r="AS28" i="1"/>
  <c r="AJ26" i="1"/>
  <c r="AS26" i="1"/>
  <c r="AJ27" i="1"/>
  <c r="AS27" i="1"/>
  <c r="AN48" i="1"/>
  <c r="AT48" i="1"/>
  <c r="BX48" i="1" s="1"/>
  <c r="CG48" i="1" s="1"/>
  <c r="AJ58" i="1"/>
  <c r="AS58" i="1"/>
  <c r="AN17" i="1"/>
  <c r="AT17" i="1"/>
  <c r="AR28" i="1"/>
  <c r="AJ10" i="1"/>
  <c r="AS10" i="1"/>
  <c r="AN50" i="1"/>
  <c r="AT50" i="1"/>
  <c r="BX50" i="1" s="1"/>
  <c r="CG50" i="1" s="1"/>
  <c r="AS17" i="1"/>
  <c r="AJ53" i="1"/>
  <c r="AS53" i="1"/>
  <c r="AS62" i="1"/>
  <c r="AT4" i="1"/>
  <c r="BX4" i="1" s="1"/>
  <c r="CG4" i="1" s="1"/>
  <c r="AJ22" i="1"/>
  <c r="AS22" i="1"/>
  <c r="AN51" i="1"/>
  <c r="AT51" i="1"/>
  <c r="BX51" i="1" s="1"/>
  <c r="CG51" i="1" s="1"/>
  <c r="AJ72" i="1"/>
  <c r="AS72" i="1"/>
  <c r="AT75" i="1"/>
  <c r="BX75" i="1" s="1"/>
  <c r="CG75" i="1" s="1"/>
  <c r="AJ15" i="1"/>
  <c r="AS15" i="1"/>
  <c r="AN6" i="1"/>
  <c r="AT6" i="1"/>
  <c r="BX6" i="1" s="1"/>
  <c r="CG6" i="1" s="1"/>
  <c r="AJ33" i="1"/>
  <c r="AS33" i="1"/>
  <c r="AN43" i="1"/>
  <c r="AT43" i="1"/>
  <c r="BX43" i="1" s="1"/>
  <c r="CG43" i="1" s="1"/>
  <c r="AJ12" i="1"/>
  <c r="AS12" i="1"/>
  <c r="AJ11" i="1"/>
  <c r="AS11" i="1"/>
  <c r="AS38" i="1"/>
  <c r="AR19" i="1"/>
  <c r="AN55" i="1"/>
  <c r="AT55" i="1"/>
  <c r="BX55" i="1" s="1"/>
  <c r="CG55" i="1" s="1"/>
  <c r="AN58" i="1"/>
  <c r="AT58" i="1"/>
  <c r="BX58" i="1" s="1"/>
  <c r="CG58" i="1" s="1"/>
  <c r="AN57" i="1"/>
  <c r="AT57" i="1"/>
  <c r="BX57" i="1" s="1"/>
  <c r="CG57" i="1" s="1"/>
  <c r="AJ34" i="1"/>
  <c r="AS34" i="1"/>
  <c r="AJ54" i="1"/>
  <c r="AS54" i="1"/>
  <c r="AN45" i="1"/>
  <c r="AT45" i="1"/>
  <c r="AT77" i="1"/>
  <c r="BX77" i="1" s="1"/>
  <c r="CG77" i="1" s="1"/>
  <c r="AN13" i="1"/>
  <c r="AT13" i="1"/>
  <c r="BX13" i="1" s="1"/>
  <c r="CG13" i="1" s="1"/>
  <c r="AJ69" i="1"/>
  <c r="AS69" i="1"/>
  <c r="AN16" i="1"/>
  <c r="AT16" i="1"/>
  <c r="BX16" i="1" s="1"/>
  <c r="CG16" i="1" s="1"/>
  <c r="AN20" i="1"/>
  <c r="AT20" i="1"/>
  <c r="BX20" i="1" s="1"/>
  <c r="CG20" i="1" s="1"/>
  <c r="AJ60" i="1"/>
  <c r="AS60" i="1"/>
  <c r="AJ68" i="1"/>
  <c r="AS68" i="1"/>
  <c r="AN78" i="1"/>
  <c r="AT78" i="1"/>
  <c r="BX78" i="1" s="1"/>
  <c r="CG78" i="1" s="1"/>
  <c r="AN66" i="1"/>
  <c r="AT66" i="1"/>
  <c r="BX66" i="1" s="1"/>
  <c r="CG66" i="1" s="1"/>
  <c r="AS51" i="1"/>
  <c r="AT59" i="1"/>
  <c r="BX59" i="1" s="1"/>
  <c r="CG59" i="1" s="1"/>
  <c r="AT19" i="1"/>
  <c r="BX19" i="1" s="1"/>
  <c r="CG19" i="1" s="1"/>
  <c r="AR81" i="1"/>
  <c r="AN40" i="1"/>
  <c r="AT40" i="1"/>
  <c r="AJ41" i="1"/>
  <c r="AJ31" i="1"/>
  <c r="AS31" i="1"/>
  <c r="AJ82" i="1"/>
  <c r="AS82" i="1"/>
  <c r="AN21" i="1"/>
  <c r="AT21" i="1"/>
  <c r="BX21" i="1" s="1"/>
  <c r="CG21" i="1" s="1"/>
  <c r="AJ4" i="1"/>
  <c r="AS4" i="1"/>
  <c r="BW4" i="1" s="1"/>
  <c r="AJ76" i="1"/>
  <c r="AS76" i="1"/>
  <c r="AJ63" i="1"/>
  <c r="AS63" i="1"/>
  <c r="AJ73" i="1"/>
  <c r="AS73" i="1"/>
  <c r="AT33" i="1"/>
  <c r="BX33" i="1" s="1"/>
  <c r="CG33" i="1" s="1"/>
  <c r="AR49" i="1"/>
  <c r="AR77" i="1"/>
  <c r="AR65" i="1"/>
  <c r="AR17" i="1"/>
  <c r="AR35" i="1"/>
  <c r="AR59" i="1"/>
  <c r="AR71" i="1"/>
  <c r="AR68" i="1"/>
  <c r="AR31" i="1"/>
  <c r="AR79" i="1"/>
  <c r="AR30" i="1"/>
  <c r="AR58" i="1"/>
  <c r="AR5" i="1"/>
  <c r="AR54" i="1"/>
  <c r="AR44" i="1"/>
  <c r="AR82" i="1"/>
  <c r="AR56" i="1"/>
  <c r="AR80" i="1"/>
  <c r="AR26" i="1"/>
  <c r="AR52" i="1"/>
  <c r="AR23" i="1"/>
  <c r="AR22" i="1"/>
  <c r="AR78" i="1"/>
  <c r="AR21" i="1"/>
  <c r="AR69" i="1"/>
  <c r="AR45" i="1"/>
  <c r="AR70" i="1"/>
  <c r="AI83" i="1"/>
  <c r="AR48" i="1"/>
  <c r="AR73" i="1"/>
  <c r="AR62" i="1"/>
  <c r="AR14" i="1"/>
  <c r="AR43" i="1"/>
  <c r="AR50" i="1"/>
  <c r="AR34" i="1"/>
  <c r="AR16" i="1"/>
  <c r="AR57" i="1"/>
  <c r="AR76" i="1"/>
  <c r="AN4" i="1"/>
  <c r="AM83" i="1"/>
  <c r="AR15" i="1"/>
  <c r="AR72" i="1"/>
  <c r="AR7" i="1"/>
  <c r="AR40" i="1"/>
  <c r="AR66" i="1"/>
  <c r="AR33" i="1"/>
  <c r="AR46" i="1"/>
  <c r="AR64" i="1"/>
  <c r="AR27" i="1"/>
  <c r="AR6" i="1"/>
  <c r="AR41" i="1"/>
  <c r="AR60" i="1"/>
  <c r="AR32" i="1"/>
  <c r="AR55" i="1"/>
  <c r="AR25" i="1"/>
  <c r="AQ83" i="1"/>
  <c r="AR83" i="1" s="1"/>
  <c r="AR9" i="1"/>
  <c r="AR4" i="1"/>
  <c r="BH36" i="1" l="1"/>
  <c r="AZ36" i="1"/>
  <c r="BL36" i="1"/>
  <c r="BD36" i="1"/>
  <c r="BF113" i="2"/>
  <c r="BV113" i="2"/>
  <c r="BN113" i="2"/>
  <c r="AZ103" i="2"/>
  <c r="BJ103" i="2" s="1"/>
  <c r="AY103" i="2"/>
  <c r="BF36" i="2"/>
  <c r="BN36" i="2"/>
  <c r="AY118" i="2"/>
  <c r="BV36" i="2"/>
  <c r="AZ118" i="2"/>
  <c r="BJ36" i="2"/>
  <c r="BQ36" i="2"/>
  <c r="BW36" i="2"/>
  <c r="BQ115" i="2"/>
  <c r="BJ115" i="2"/>
  <c r="BT115" i="2"/>
  <c r="BQ113" i="2"/>
  <c r="BW113" i="2"/>
  <c r="BJ113" i="2"/>
  <c r="T49" i="1"/>
  <c r="BX49" i="1"/>
  <c r="CG49" i="1" s="1"/>
  <c r="BX22" i="1"/>
  <c r="CG22" i="1" s="1"/>
  <c r="AZ117" i="2"/>
  <c r="AY117" i="2"/>
  <c r="AZ114" i="2"/>
  <c r="BQ6" i="2"/>
  <c r="BW6" i="2"/>
  <c r="S6" i="1"/>
  <c r="T6" i="1" s="1"/>
  <c r="BJ6" i="2"/>
  <c r="AY114" i="2"/>
  <c r="BV6" i="2"/>
  <c r="BN6" i="2"/>
  <c r="J6" i="1"/>
  <c r="K6" i="1" s="1"/>
  <c r="BF6" i="2"/>
  <c r="BI115" i="2"/>
  <c r="BP115" i="2"/>
  <c r="BS115" i="2"/>
  <c r="BM115" i="2"/>
  <c r="BI113" i="2"/>
  <c r="BP113" i="2"/>
  <c r="BM113" i="2"/>
  <c r="BS113" i="2"/>
  <c r="BU113" i="2"/>
  <c r="BT113" i="2"/>
  <c r="J5" i="1"/>
  <c r="K5" i="1" s="1"/>
  <c r="AZ5" i="1" s="1"/>
  <c r="BR104" i="2"/>
  <c r="BU103" i="2"/>
  <c r="BU55" i="2"/>
  <c r="BU67" i="2"/>
  <c r="BU31" i="2"/>
  <c r="BU45" i="2"/>
  <c r="BU81" i="2"/>
  <c r="BI56" i="2"/>
  <c r="BT56" i="2"/>
  <c r="BU32" i="2"/>
  <c r="BU54" i="2"/>
  <c r="BI42" i="2"/>
  <c r="BT42" i="2"/>
  <c r="BU42" i="2"/>
  <c r="BU62" i="2"/>
  <c r="BU66" i="2"/>
  <c r="BU63" i="2"/>
  <c r="BI49" i="2"/>
  <c r="BT49" i="2"/>
  <c r="BU18" i="2"/>
  <c r="BI63" i="2"/>
  <c r="BT63" i="2"/>
  <c r="BU33" i="2"/>
  <c r="BU49" i="2"/>
  <c r="BM51" i="2"/>
  <c r="BM58" i="2"/>
  <c r="BY104" i="2"/>
  <c r="BO93" i="2"/>
  <c r="BY98" i="2"/>
  <c r="BO104" i="2"/>
  <c r="BY93" i="2"/>
  <c r="BR93" i="2"/>
  <c r="BO98" i="2"/>
  <c r="BR98" i="2"/>
  <c r="BO101" i="2"/>
  <c r="BX101" i="2"/>
  <c r="BO102" i="2"/>
  <c r="BX102" i="2"/>
  <c r="BR102" i="2"/>
  <c r="BY102" i="2"/>
  <c r="BR101" i="2"/>
  <c r="BY101" i="2"/>
  <c r="BR91" i="2"/>
  <c r="BY91" i="2"/>
  <c r="BO91" i="2"/>
  <c r="BX91" i="2"/>
  <c r="BJ68" i="1"/>
  <c r="BW68" i="1"/>
  <c r="BN17" i="1"/>
  <c r="BX17" i="1"/>
  <c r="CG17" i="1" s="1"/>
  <c r="BJ42" i="1"/>
  <c r="BW42" i="1"/>
  <c r="BJ12" i="1"/>
  <c r="BW12" i="1"/>
  <c r="BJ81" i="1"/>
  <c r="BW81" i="1"/>
  <c r="BJ60" i="1"/>
  <c r="BW60" i="1"/>
  <c r="BJ22" i="1"/>
  <c r="BW22" i="1"/>
  <c r="BJ58" i="1"/>
  <c r="BW58" i="1"/>
  <c r="BJ37" i="1"/>
  <c r="BW37" i="1"/>
  <c r="BJ57" i="1"/>
  <c r="BW57" i="1"/>
  <c r="BJ77" i="1"/>
  <c r="BW77" i="1"/>
  <c r="BJ73" i="1"/>
  <c r="BW73" i="1"/>
  <c r="BJ34" i="1"/>
  <c r="BW34" i="1"/>
  <c r="BJ48" i="1"/>
  <c r="BW48" i="1"/>
  <c r="BJ14" i="1"/>
  <c r="BW14" i="1"/>
  <c r="BJ50" i="1"/>
  <c r="BW50" i="1"/>
  <c r="BN9" i="1"/>
  <c r="BX9" i="1"/>
  <c r="CG9" i="1" s="1"/>
  <c r="BN11" i="1"/>
  <c r="BX11" i="1"/>
  <c r="CG11" i="1" s="1"/>
  <c r="BJ11" i="1"/>
  <c r="BW11" i="1"/>
  <c r="BJ79" i="1"/>
  <c r="BW79" i="1"/>
  <c r="BJ41" i="1"/>
  <c r="BW41" i="1"/>
  <c r="BJ6" i="1"/>
  <c r="BW6" i="1"/>
  <c r="BJ35" i="1"/>
  <c r="BW35" i="1"/>
  <c r="BJ52" i="1"/>
  <c r="BW52" i="1"/>
  <c r="BN45" i="1"/>
  <c r="BX45" i="1"/>
  <c r="CG45" i="1" s="1"/>
  <c r="BJ75" i="1"/>
  <c r="BW75" i="1"/>
  <c r="BJ31" i="1"/>
  <c r="BW31" i="1"/>
  <c r="BJ54" i="1"/>
  <c r="BW54" i="1"/>
  <c r="BJ16" i="1"/>
  <c r="BW16" i="1"/>
  <c r="BJ63" i="1"/>
  <c r="BW63" i="1"/>
  <c r="BJ62" i="1"/>
  <c r="BW62" i="1"/>
  <c r="BJ9" i="1"/>
  <c r="BW9" i="1"/>
  <c r="BJ44" i="1"/>
  <c r="BW44" i="1"/>
  <c r="BN39" i="1"/>
  <c r="BX39" i="1"/>
  <c r="CG39" i="1" s="1"/>
  <c r="BJ23" i="1"/>
  <c r="BW23" i="1"/>
  <c r="BJ64" i="1"/>
  <c r="BW64" i="1"/>
  <c r="BJ70" i="1"/>
  <c r="BW70" i="1"/>
  <c r="BJ45" i="1"/>
  <c r="BW45" i="1"/>
  <c r="BJ59" i="1"/>
  <c r="BW59" i="1"/>
  <c r="BJ72" i="1"/>
  <c r="BW72" i="1"/>
  <c r="BJ21" i="1"/>
  <c r="BW21" i="1"/>
  <c r="BJ53" i="1"/>
  <c r="BW53" i="1"/>
  <c r="BJ18" i="1"/>
  <c r="BW18" i="1"/>
  <c r="BJ46" i="1"/>
  <c r="BW46" i="1"/>
  <c r="BJ15" i="1"/>
  <c r="BW15" i="1"/>
  <c r="BJ49" i="1"/>
  <c r="BW49" i="1"/>
  <c r="BJ38" i="1"/>
  <c r="BW38" i="1"/>
  <c r="BJ82" i="1"/>
  <c r="BW82" i="1"/>
  <c r="BJ24" i="1"/>
  <c r="BW24" i="1"/>
  <c r="BJ56" i="1"/>
  <c r="BW56" i="1"/>
  <c r="BJ32" i="1"/>
  <c r="BW32" i="1"/>
  <c r="BJ13" i="1"/>
  <c r="BW13" i="1"/>
  <c r="BN40" i="1"/>
  <c r="BX40" i="1"/>
  <c r="CG40" i="1" s="1"/>
  <c r="BJ33" i="1"/>
  <c r="BW33" i="1"/>
  <c r="BJ27" i="1"/>
  <c r="BW27" i="1"/>
  <c r="BJ7" i="1"/>
  <c r="BW7" i="1"/>
  <c r="BJ76" i="1"/>
  <c r="BW76" i="1"/>
  <c r="BJ69" i="1"/>
  <c r="BW69" i="1"/>
  <c r="BJ17" i="1"/>
  <c r="BW17" i="1"/>
  <c r="BJ26" i="1"/>
  <c r="BW26" i="1"/>
  <c r="BJ43" i="1"/>
  <c r="BW43" i="1"/>
  <c r="BJ51" i="1"/>
  <c r="BW51" i="1"/>
  <c r="BJ67" i="1"/>
  <c r="BW67" i="1"/>
  <c r="BJ71" i="1"/>
  <c r="BW71" i="1"/>
  <c r="BJ8" i="1"/>
  <c r="BW8" i="1"/>
  <c r="BJ74" i="1"/>
  <c r="BW74" i="1"/>
  <c r="BJ20" i="1"/>
  <c r="BW20" i="1"/>
  <c r="BJ28" i="1"/>
  <c r="BW28" i="1"/>
  <c r="BJ78" i="1"/>
  <c r="BW78" i="1"/>
  <c r="BJ10" i="1"/>
  <c r="BW10" i="1"/>
  <c r="BJ30" i="1"/>
  <c r="BW30" i="1"/>
  <c r="BJ5" i="1"/>
  <c r="BW5" i="1"/>
  <c r="BJ25" i="1"/>
  <c r="BW25" i="1"/>
  <c r="BN12" i="1"/>
  <c r="BX12" i="1"/>
  <c r="CG12" i="1" s="1"/>
  <c r="BJ19" i="1"/>
  <c r="BW19" i="1"/>
  <c r="BJ55" i="1"/>
  <c r="BW55" i="1"/>
  <c r="BJ4" i="1"/>
  <c r="AS83" i="1"/>
  <c r="BW83" i="1" s="1"/>
  <c r="BN4" i="1"/>
  <c r="AT83" i="1"/>
  <c r="BX83" i="1" s="1"/>
  <c r="AR95" i="1"/>
  <c r="BM59" i="1"/>
  <c r="BN59" i="1"/>
  <c r="BM37" i="1"/>
  <c r="BN37" i="1"/>
  <c r="BM21" i="1"/>
  <c r="BN21" i="1"/>
  <c r="BM81" i="1"/>
  <c r="BN81" i="1"/>
  <c r="BM32" i="1"/>
  <c r="BN32" i="1"/>
  <c r="BM57" i="1"/>
  <c r="BN57" i="1"/>
  <c r="BM18" i="1"/>
  <c r="BN18" i="1"/>
  <c r="BM34" i="1"/>
  <c r="BN34" i="1"/>
  <c r="BM29" i="1"/>
  <c r="BN29" i="1"/>
  <c r="BB65" i="1"/>
  <c r="BJ65" i="1"/>
  <c r="BM68" i="1"/>
  <c r="BN68" i="1"/>
  <c r="BM41" i="1"/>
  <c r="BN41" i="1"/>
  <c r="BB80" i="1"/>
  <c r="BJ80" i="1"/>
  <c r="BM66" i="1"/>
  <c r="BN66" i="1"/>
  <c r="BM7" i="1"/>
  <c r="BN7" i="1"/>
  <c r="BM77" i="1"/>
  <c r="BN77" i="1"/>
  <c r="BM74" i="1"/>
  <c r="BN74" i="1"/>
  <c r="BM80" i="1"/>
  <c r="BN80" i="1"/>
  <c r="BM33" i="1"/>
  <c r="BN33" i="1"/>
  <c r="AW39" i="2"/>
  <c r="AY39" i="2" s="1"/>
  <c r="BF39" i="2" s="1"/>
  <c r="BT39" i="2" s="1"/>
  <c r="BJ39" i="1"/>
  <c r="BM75" i="1"/>
  <c r="BN75" i="1"/>
  <c r="AX50" i="2"/>
  <c r="AZ50" i="2" s="1"/>
  <c r="BW50" i="2" s="1"/>
  <c r="BN50" i="1"/>
  <c r="BM63" i="1"/>
  <c r="BN63" i="1"/>
  <c r="BM25" i="1"/>
  <c r="BN25" i="1"/>
  <c r="BM42" i="1"/>
  <c r="BN42" i="1"/>
  <c r="BM20" i="1"/>
  <c r="BN20" i="1"/>
  <c r="BM70" i="1"/>
  <c r="BN70" i="1"/>
  <c r="BA40" i="1"/>
  <c r="BJ40" i="1"/>
  <c r="BM16" i="1"/>
  <c r="BN16" i="1"/>
  <c r="BM62" i="1"/>
  <c r="BN62" i="1"/>
  <c r="BM14" i="1"/>
  <c r="BN14" i="1"/>
  <c r="BM79" i="1"/>
  <c r="BN79" i="1"/>
  <c r="BM5" i="1"/>
  <c r="BN5" i="1"/>
  <c r="BF11" i="1"/>
  <c r="BM19" i="1"/>
  <c r="BN19" i="1"/>
  <c r="BM43" i="1"/>
  <c r="BN43" i="1"/>
  <c r="BM82" i="1"/>
  <c r="BN82" i="1"/>
  <c r="BM28" i="1"/>
  <c r="BN28" i="1"/>
  <c r="BM73" i="1"/>
  <c r="BN73" i="1"/>
  <c r="BM26" i="1"/>
  <c r="BN26" i="1"/>
  <c r="BM8" i="1"/>
  <c r="BN8" i="1"/>
  <c r="BE11" i="1"/>
  <c r="BB29" i="1"/>
  <c r="BJ29" i="1"/>
  <c r="BM15" i="1"/>
  <c r="BN15" i="1"/>
  <c r="BM58" i="1"/>
  <c r="BN58" i="1"/>
  <c r="BM69" i="1"/>
  <c r="BN69" i="1"/>
  <c r="BM72" i="1"/>
  <c r="BN72" i="1"/>
  <c r="BM76" i="1"/>
  <c r="BN76" i="1"/>
  <c r="BM27" i="1"/>
  <c r="BN27" i="1"/>
  <c r="BM22" i="1"/>
  <c r="BN22" i="1"/>
  <c r="BM52" i="1"/>
  <c r="BN52" i="1"/>
  <c r="BM10" i="1"/>
  <c r="BN10" i="1"/>
  <c r="BM55" i="1"/>
  <c r="BN55" i="1"/>
  <c r="BM53" i="1"/>
  <c r="BN53" i="1"/>
  <c r="BM60" i="1"/>
  <c r="BN60" i="1"/>
  <c r="BM13" i="1"/>
  <c r="BN13" i="1"/>
  <c r="BM30" i="1"/>
  <c r="BN30" i="1"/>
  <c r="BM64" i="1"/>
  <c r="BN64" i="1"/>
  <c r="BM23" i="1"/>
  <c r="BN23" i="1"/>
  <c r="BM6" i="1"/>
  <c r="BN6" i="1"/>
  <c r="BM31" i="1"/>
  <c r="BN31" i="1"/>
  <c r="BM49" i="1"/>
  <c r="BN49" i="1"/>
  <c r="BM67" i="1"/>
  <c r="BN67" i="1"/>
  <c r="BM65" i="1"/>
  <c r="BN65" i="1"/>
  <c r="BM71" i="1"/>
  <c r="BN71" i="1"/>
  <c r="BM46" i="1"/>
  <c r="BN46" i="1"/>
  <c r="BE44" i="1"/>
  <c r="BN44" i="1"/>
  <c r="BM35" i="1"/>
  <c r="BN35" i="1"/>
  <c r="BB66" i="1"/>
  <c r="BJ66" i="1"/>
  <c r="BM54" i="1"/>
  <c r="BN54" i="1"/>
  <c r="BM24" i="1"/>
  <c r="BN24" i="1"/>
  <c r="BM38" i="1"/>
  <c r="BN38" i="1"/>
  <c r="BM51" i="1"/>
  <c r="BN51" i="1"/>
  <c r="BM78" i="1"/>
  <c r="BN78" i="1"/>
  <c r="BM48" i="1"/>
  <c r="BN48" i="1"/>
  <c r="BM56" i="1"/>
  <c r="BN56" i="1"/>
  <c r="AR100" i="1"/>
  <c r="AR101" i="1"/>
  <c r="AR102" i="1"/>
  <c r="AS97" i="1"/>
  <c r="BM45" i="1"/>
  <c r="AC84" i="1"/>
  <c r="AT95" i="1"/>
  <c r="AR103" i="1"/>
  <c r="W84" i="1"/>
  <c r="AN103" i="1"/>
  <c r="AN102" i="1" s="1"/>
  <c r="AN100" i="1"/>
  <c r="AN101" i="1" s="1"/>
  <c r="AN95" i="1"/>
  <c r="AS103" i="1"/>
  <c r="BM12" i="1"/>
  <c r="AT103" i="1"/>
  <c r="AJ97" i="1"/>
  <c r="AT97" i="1"/>
  <c r="AS100" i="1"/>
  <c r="AS90" i="1"/>
  <c r="AZ80" i="1"/>
  <c r="BP63" i="2"/>
  <c r="AN97" i="1"/>
  <c r="AU97" i="1" s="1"/>
  <c r="AX97" i="1" s="1"/>
  <c r="AJ100" i="1"/>
  <c r="AJ101" i="1" s="1"/>
  <c r="AJ95" i="1"/>
  <c r="BP42" i="2"/>
  <c r="AT96" i="1"/>
  <c r="AQ91" i="1"/>
  <c r="AR91" i="1" s="1"/>
  <c r="AI91" i="1"/>
  <c r="AJ91" i="1" s="1"/>
  <c r="AN96" i="1"/>
  <c r="AU96" i="1" s="1"/>
  <c r="AX96" i="1" s="1"/>
  <c r="AJ103" i="1"/>
  <c r="AJ102" i="1" s="1"/>
  <c r="BM4" i="1"/>
  <c r="AT100" i="1"/>
  <c r="AT90" i="1"/>
  <c r="AS95" i="1"/>
  <c r="AS92" i="1"/>
  <c r="AM91" i="1"/>
  <c r="AN91" i="1" s="1"/>
  <c r="AS96" i="1"/>
  <c r="AJ96" i="1"/>
  <c r="AW50" i="2"/>
  <c r="AY50" i="2" s="1"/>
  <c r="BM11" i="1"/>
  <c r="AT92" i="1"/>
  <c r="BI82" i="2"/>
  <c r="BP82" i="2"/>
  <c r="BM18" i="2"/>
  <c r="BS18" i="2"/>
  <c r="BM62" i="2"/>
  <c r="BS62" i="2"/>
  <c r="BV43" i="2"/>
  <c r="BN43" i="2"/>
  <c r="BI45" i="2"/>
  <c r="BP45" i="2"/>
  <c r="BQ43" i="2"/>
  <c r="BW43" i="2"/>
  <c r="BI67" i="2"/>
  <c r="BP67" i="2"/>
  <c r="BI52" i="2"/>
  <c r="BP52" i="2"/>
  <c r="BI55" i="2"/>
  <c r="BP55" i="2"/>
  <c r="BI54" i="2"/>
  <c r="BP54" i="2"/>
  <c r="BM55" i="2"/>
  <c r="BS55" i="2"/>
  <c r="BN11" i="2"/>
  <c r="BV11" i="2"/>
  <c r="BI33" i="2"/>
  <c r="BP33" i="2"/>
  <c r="BM49" i="2"/>
  <c r="BS49" i="2"/>
  <c r="BQ11" i="2"/>
  <c r="BW11" i="2"/>
  <c r="BM66" i="2"/>
  <c r="BS66" i="2"/>
  <c r="BI51" i="2"/>
  <c r="BP51" i="2"/>
  <c r="BM81" i="2"/>
  <c r="BS81" i="2"/>
  <c r="BI62" i="2"/>
  <c r="BP62" i="2"/>
  <c r="BM45" i="2"/>
  <c r="BS45" i="2"/>
  <c r="BV5" i="2"/>
  <c r="BN5" i="2"/>
  <c r="BP49" i="2"/>
  <c r="BS58" i="2"/>
  <c r="BI81" i="2"/>
  <c r="BP81" i="2"/>
  <c r="BM63" i="2"/>
  <c r="BS63" i="2"/>
  <c r="BM33" i="2"/>
  <c r="BS33" i="2"/>
  <c r="BM67" i="2"/>
  <c r="BS67" i="2"/>
  <c r="BM31" i="2"/>
  <c r="BS31" i="2"/>
  <c r="BI66" i="2"/>
  <c r="BP66" i="2"/>
  <c r="BI58" i="2"/>
  <c r="BP58" i="2"/>
  <c r="BI29" i="2"/>
  <c r="BP29" i="2"/>
  <c r="BJ5" i="2"/>
  <c r="BW5" i="2"/>
  <c r="BQ5" i="2"/>
  <c r="BI31" i="2"/>
  <c r="BP31" i="2"/>
  <c r="BI41" i="2"/>
  <c r="BP41" i="2"/>
  <c r="BI79" i="2"/>
  <c r="BP79" i="2"/>
  <c r="BS51" i="2"/>
  <c r="BP56" i="2"/>
  <c r="BK104" i="2"/>
  <c r="BM32" i="2"/>
  <c r="BS32" i="2"/>
  <c r="BM54" i="2"/>
  <c r="BS54" i="2"/>
  <c r="BI32" i="2"/>
  <c r="BP32" i="2"/>
  <c r="BI71" i="2"/>
  <c r="BP71" i="2"/>
  <c r="BM42" i="2"/>
  <c r="BS42" i="2"/>
  <c r="BI18" i="2"/>
  <c r="BP18" i="2"/>
  <c r="BI37" i="2"/>
  <c r="BP37" i="2"/>
  <c r="BK98" i="2"/>
  <c r="S5" i="1"/>
  <c r="BH104" i="2"/>
  <c r="T31" i="1"/>
  <c r="BD31" i="1" s="1"/>
  <c r="BT31" i="1" s="1"/>
  <c r="BL104" i="2"/>
  <c r="BG104" i="2"/>
  <c r="BL93" i="2"/>
  <c r="BH98" i="2"/>
  <c r="BL98" i="2"/>
  <c r="BH93" i="2"/>
  <c r="BK93" i="2"/>
  <c r="BG98" i="2"/>
  <c r="BG93" i="2"/>
  <c r="K29" i="1"/>
  <c r="AZ29" i="1" s="1"/>
  <c r="AY96" i="2"/>
  <c r="BK102" i="2"/>
  <c r="BL102" i="2"/>
  <c r="AW100" i="2"/>
  <c r="AU101" i="2"/>
  <c r="AW101" i="2" s="1"/>
  <c r="AZ100" i="2"/>
  <c r="AZ95" i="2"/>
  <c r="BH102" i="2"/>
  <c r="BG102" i="2"/>
  <c r="AY100" i="2"/>
  <c r="AY95" i="2"/>
  <c r="AV102" i="2"/>
  <c r="AX102" i="2" s="1"/>
  <c r="AX103" i="2"/>
  <c r="BM103" i="2"/>
  <c r="BL91" i="2"/>
  <c r="BK91" i="2"/>
  <c r="BG91" i="2"/>
  <c r="BH91" i="2"/>
  <c r="BG101" i="2"/>
  <c r="BH101" i="2"/>
  <c r="BL101" i="2"/>
  <c r="BK101" i="2"/>
  <c r="AZ96" i="2"/>
  <c r="BF5" i="2"/>
  <c r="BT5" i="2" s="1"/>
  <c r="AU102" i="2"/>
  <c r="AW102" i="2" s="1"/>
  <c r="AW103" i="2"/>
  <c r="AX100" i="2"/>
  <c r="AV101" i="2"/>
  <c r="AX101" i="2" s="1"/>
  <c r="J11" i="1"/>
  <c r="AY92" i="2"/>
  <c r="BF11" i="2"/>
  <c r="BT11" i="2" s="1"/>
  <c r="S11" i="1"/>
  <c r="BJ11" i="2"/>
  <c r="AZ92" i="2"/>
  <c r="AX83" i="2"/>
  <c r="AV91" i="2"/>
  <c r="AX91" i="2" s="1"/>
  <c r="J4" i="1"/>
  <c r="BF4" i="2"/>
  <c r="BT4" i="2" s="1"/>
  <c r="AY90" i="2"/>
  <c r="S4" i="1"/>
  <c r="AZ90" i="2"/>
  <c r="BJ4" i="2"/>
  <c r="J43" i="1"/>
  <c r="K43" i="1" s="1"/>
  <c r="AZ43" i="1" s="1"/>
  <c r="BF43" i="2"/>
  <c r="BT43" i="2" s="1"/>
  <c r="S43" i="1"/>
  <c r="T43" i="1" s="1"/>
  <c r="BL43" i="1" s="1"/>
  <c r="BJ43" i="2"/>
  <c r="AW83" i="2"/>
  <c r="AU91" i="2"/>
  <c r="AW91" i="2" s="1"/>
  <c r="BM50" i="1"/>
  <c r="AZ65" i="1"/>
  <c r="BA65" i="1"/>
  <c r="BI65" i="1"/>
  <c r="BH65" i="1"/>
  <c r="BM39" i="1"/>
  <c r="AX39" i="2"/>
  <c r="AZ39" i="2" s="1"/>
  <c r="BB40" i="1"/>
  <c r="BH80" i="1"/>
  <c r="BA80" i="1"/>
  <c r="BI80" i="1"/>
  <c r="BI29" i="1"/>
  <c r="BA29" i="1"/>
  <c r="AZ66" i="1"/>
  <c r="BI43" i="1"/>
  <c r="BI39" i="1"/>
  <c r="BH73" i="1"/>
  <c r="BI73" i="1"/>
  <c r="BB79" i="1"/>
  <c r="BH79" i="1"/>
  <c r="BI79" i="1"/>
  <c r="BH25" i="1"/>
  <c r="BI25" i="1"/>
  <c r="BH56" i="1"/>
  <c r="BI56" i="1"/>
  <c r="BH21" i="1"/>
  <c r="BI21" i="1"/>
  <c r="BH58" i="1"/>
  <c r="BI58" i="1"/>
  <c r="BL69" i="1"/>
  <c r="BH26" i="1"/>
  <c r="BI26" i="1"/>
  <c r="BI11" i="1"/>
  <c r="BH63" i="1"/>
  <c r="BI63" i="1"/>
  <c r="BH12" i="1"/>
  <c r="BI12" i="1"/>
  <c r="BH30" i="1"/>
  <c r="BI30" i="1"/>
  <c r="BH19" i="1"/>
  <c r="BI19" i="1"/>
  <c r="BA41" i="1"/>
  <c r="BH41" i="1"/>
  <c r="BI41" i="1"/>
  <c r="BH24" i="1"/>
  <c r="BI24" i="1"/>
  <c r="BI16" i="1"/>
  <c r="BH16" i="1"/>
  <c r="BD69" i="1"/>
  <c r="BT69" i="1" s="1"/>
  <c r="BH37" i="1"/>
  <c r="BI37" i="1"/>
  <c r="BH48" i="1"/>
  <c r="BI48" i="1"/>
  <c r="BH14" i="1"/>
  <c r="BI14" i="1"/>
  <c r="BI50" i="1"/>
  <c r="BH60" i="1"/>
  <c r="BI60" i="1"/>
  <c r="BH71" i="1"/>
  <c r="BI71" i="1"/>
  <c r="BI5" i="1"/>
  <c r="BL44" i="1"/>
  <c r="BM44" i="1"/>
  <c r="BH66" i="1"/>
  <c r="BI66" i="1"/>
  <c r="BI4" i="1"/>
  <c r="BH81" i="1"/>
  <c r="BI81" i="1"/>
  <c r="BI6" i="1"/>
  <c r="BH35" i="1"/>
  <c r="BI35" i="1"/>
  <c r="BH77" i="1"/>
  <c r="BI77" i="1"/>
  <c r="BH38" i="1"/>
  <c r="BI38" i="1"/>
  <c r="BH10" i="1"/>
  <c r="BI10" i="1"/>
  <c r="BH76" i="1"/>
  <c r="BI76" i="1"/>
  <c r="BH69" i="1"/>
  <c r="BI69" i="1"/>
  <c r="BF44" i="1"/>
  <c r="BH62" i="1"/>
  <c r="BI62" i="1"/>
  <c r="BH49" i="1"/>
  <c r="BI49" i="1"/>
  <c r="BH75" i="1"/>
  <c r="BI75" i="1"/>
  <c r="BH51" i="1"/>
  <c r="BI51" i="1"/>
  <c r="BH32" i="1"/>
  <c r="BI32" i="1"/>
  <c r="BH13" i="1"/>
  <c r="BI13" i="1"/>
  <c r="BH22" i="1"/>
  <c r="BI22" i="1"/>
  <c r="BH68" i="1"/>
  <c r="BI68" i="1"/>
  <c r="BH53" i="1"/>
  <c r="BI53" i="1"/>
  <c r="BH27" i="1"/>
  <c r="BI27" i="1"/>
  <c r="BH18" i="1"/>
  <c r="BI18" i="1"/>
  <c r="BH7" i="1"/>
  <c r="BI7" i="1"/>
  <c r="BH46" i="1"/>
  <c r="BI46" i="1"/>
  <c r="BH52" i="1"/>
  <c r="BI52" i="1"/>
  <c r="BH34" i="1"/>
  <c r="BI34" i="1"/>
  <c r="BH67" i="1"/>
  <c r="BI67" i="1"/>
  <c r="BH8" i="1"/>
  <c r="BI8" i="1"/>
  <c r="BH20" i="1"/>
  <c r="BI20" i="1"/>
  <c r="BH55" i="1"/>
  <c r="BI55" i="1"/>
  <c r="BH33" i="1"/>
  <c r="BI33" i="1"/>
  <c r="BH57" i="1"/>
  <c r="BI57" i="1"/>
  <c r="BH82" i="1"/>
  <c r="BI82" i="1"/>
  <c r="BH31" i="1"/>
  <c r="BI31" i="1"/>
  <c r="BH54" i="1"/>
  <c r="BI54" i="1"/>
  <c r="BH15" i="1"/>
  <c r="BI15" i="1"/>
  <c r="BH23" i="1"/>
  <c r="BI23" i="1"/>
  <c r="BH64" i="1"/>
  <c r="BI64" i="1"/>
  <c r="BH70" i="1"/>
  <c r="BI70" i="1"/>
  <c r="BH45" i="1"/>
  <c r="BI45" i="1"/>
  <c r="BH59" i="1"/>
  <c r="BI59" i="1"/>
  <c r="BA66" i="1"/>
  <c r="BH74" i="1"/>
  <c r="BI74" i="1"/>
  <c r="BH72" i="1"/>
  <c r="BI72" i="1"/>
  <c r="BH28" i="1"/>
  <c r="BI28" i="1"/>
  <c r="BH78" i="1"/>
  <c r="BI78" i="1"/>
  <c r="BA42" i="1"/>
  <c r="BH42" i="1"/>
  <c r="BI42" i="1"/>
  <c r="AZ79" i="1"/>
  <c r="AZ41" i="1"/>
  <c r="BB41" i="1"/>
  <c r="BA79" i="1"/>
  <c r="AZ42" i="1"/>
  <c r="BD44" i="1"/>
  <c r="BT44" i="1" s="1"/>
  <c r="BB42" i="1"/>
  <c r="AZ23" i="1"/>
  <c r="BA23" i="1"/>
  <c r="BB23" i="1"/>
  <c r="BB4" i="1"/>
  <c r="BA4" i="1"/>
  <c r="BA67" i="1"/>
  <c r="BB67" i="1"/>
  <c r="AZ67" i="1"/>
  <c r="BE66" i="1"/>
  <c r="BF66" i="1"/>
  <c r="BF43" i="1"/>
  <c r="BE43" i="1"/>
  <c r="BF21" i="1"/>
  <c r="BE21" i="1"/>
  <c r="BE58" i="1"/>
  <c r="BF58" i="1"/>
  <c r="BF14" i="1"/>
  <c r="BE14" i="1"/>
  <c r="BA30" i="1"/>
  <c r="BB30" i="1"/>
  <c r="AZ30" i="1"/>
  <c r="BA5" i="1"/>
  <c r="BB5" i="1"/>
  <c r="BE18" i="1"/>
  <c r="BF18" i="1"/>
  <c r="BB25" i="1"/>
  <c r="BA25" i="1"/>
  <c r="AZ25" i="1"/>
  <c r="BE12" i="1"/>
  <c r="BF12" i="1"/>
  <c r="AZ19" i="1"/>
  <c r="BA19" i="1"/>
  <c r="BB19" i="1"/>
  <c r="BE34" i="1"/>
  <c r="BF34" i="1"/>
  <c r="BB55" i="1"/>
  <c r="BA55" i="1"/>
  <c r="AZ55" i="1"/>
  <c r="BF29" i="1"/>
  <c r="BE29" i="1"/>
  <c r="BF57" i="1"/>
  <c r="BE57" i="1"/>
  <c r="BB45" i="1"/>
  <c r="BA45" i="1"/>
  <c r="AZ45" i="1"/>
  <c r="BF25" i="1"/>
  <c r="BE25" i="1"/>
  <c r="BA74" i="1"/>
  <c r="BB74" i="1"/>
  <c r="AZ74" i="1"/>
  <c r="BE62" i="1"/>
  <c r="BF62" i="1"/>
  <c r="BB78" i="1"/>
  <c r="BA78" i="1"/>
  <c r="AZ78" i="1"/>
  <c r="BF46" i="1"/>
  <c r="BE46" i="1"/>
  <c r="BF78" i="1"/>
  <c r="BE78" i="1"/>
  <c r="BF13" i="1"/>
  <c r="BE13" i="1"/>
  <c r="BB33" i="1"/>
  <c r="BA33" i="1"/>
  <c r="AZ33" i="1"/>
  <c r="BE51" i="1"/>
  <c r="BF51" i="1"/>
  <c r="BF17" i="1"/>
  <c r="BE17" i="1"/>
  <c r="BE68" i="1"/>
  <c r="BF68" i="1"/>
  <c r="BF79" i="1"/>
  <c r="BE79" i="1"/>
  <c r="BE5" i="1"/>
  <c r="BF5" i="1"/>
  <c r="BB76" i="1"/>
  <c r="BA76" i="1"/>
  <c r="AZ76" i="1"/>
  <c r="BF59" i="1"/>
  <c r="BE59" i="1"/>
  <c r="BB28" i="1"/>
  <c r="BA28" i="1"/>
  <c r="AZ28" i="1"/>
  <c r="BF70" i="1"/>
  <c r="BE70" i="1"/>
  <c r="BB49" i="1"/>
  <c r="BA49" i="1"/>
  <c r="AZ49" i="1"/>
  <c r="BB8" i="1"/>
  <c r="BA8" i="1"/>
  <c r="AZ8" i="1"/>
  <c r="BA82" i="1"/>
  <c r="BB82" i="1"/>
  <c r="AZ82" i="1"/>
  <c r="BA24" i="1"/>
  <c r="BB24" i="1"/>
  <c r="AZ24" i="1"/>
  <c r="BA56" i="1"/>
  <c r="BB56" i="1"/>
  <c r="AZ56" i="1"/>
  <c r="BA75" i="1"/>
  <c r="BB75" i="1"/>
  <c r="AZ75" i="1"/>
  <c r="BF8" i="1"/>
  <c r="BE8" i="1"/>
  <c r="BB37" i="1"/>
  <c r="BA37" i="1"/>
  <c r="AZ37" i="1"/>
  <c r="BF45" i="1"/>
  <c r="BE45" i="1"/>
  <c r="BB16" i="1"/>
  <c r="BA16" i="1"/>
  <c r="AZ16" i="1"/>
  <c r="BA13" i="1"/>
  <c r="BB13" i="1"/>
  <c r="AZ13" i="1"/>
  <c r="BB12" i="1"/>
  <c r="AZ12" i="1"/>
  <c r="BA12" i="1"/>
  <c r="BE24" i="1"/>
  <c r="BF24" i="1"/>
  <c r="BF55" i="1"/>
  <c r="BE55" i="1"/>
  <c r="BF28" i="1"/>
  <c r="BE28" i="1"/>
  <c r="BE26" i="1"/>
  <c r="BF26" i="1"/>
  <c r="BF35" i="1"/>
  <c r="BE35" i="1"/>
  <c r="BE77" i="1"/>
  <c r="BF77" i="1"/>
  <c r="BE54" i="1"/>
  <c r="BF54" i="1"/>
  <c r="BA59" i="1"/>
  <c r="BB59" i="1"/>
  <c r="AZ59" i="1"/>
  <c r="BE53" i="1"/>
  <c r="BF53" i="1"/>
  <c r="BA10" i="1"/>
  <c r="BB10" i="1"/>
  <c r="AZ10" i="1"/>
  <c r="BA71" i="1"/>
  <c r="BB71" i="1"/>
  <c r="AZ71" i="1"/>
  <c r="BF42" i="1"/>
  <c r="BE42" i="1"/>
  <c r="BF27" i="1"/>
  <c r="BE27" i="1"/>
  <c r="BF15" i="1"/>
  <c r="BE15" i="1"/>
  <c r="BB57" i="1"/>
  <c r="BA57" i="1"/>
  <c r="AZ57" i="1"/>
  <c r="BA32" i="1"/>
  <c r="BB32" i="1"/>
  <c r="AZ32" i="1"/>
  <c r="BE6" i="1"/>
  <c r="BF6" i="1"/>
  <c r="BE48" i="1"/>
  <c r="BF48" i="1"/>
  <c r="BF10" i="1"/>
  <c r="BE10" i="1"/>
  <c r="AZ73" i="1"/>
  <c r="BA73" i="1"/>
  <c r="BB73" i="1"/>
  <c r="BA54" i="1"/>
  <c r="BB54" i="1"/>
  <c r="AZ54" i="1"/>
  <c r="BB62" i="1"/>
  <c r="BA62" i="1"/>
  <c r="AZ62" i="1"/>
  <c r="BF74" i="1"/>
  <c r="BE74" i="1"/>
  <c r="BA6" i="1"/>
  <c r="BB6" i="1"/>
  <c r="BE76" i="1"/>
  <c r="BF76" i="1"/>
  <c r="BE23" i="1"/>
  <c r="BF23" i="1"/>
  <c r="BE81" i="1"/>
  <c r="BF81" i="1"/>
  <c r="BF7" i="1"/>
  <c r="BE7" i="1"/>
  <c r="BA48" i="1"/>
  <c r="BB48" i="1"/>
  <c r="AZ48" i="1"/>
  <c r="BA14" i="1"/>
  <c r="BB14" i="1"/>
  <c r="AZ14" i="1"/>
  <c r="BA50" i="1"/>
  <c r="BB50" i="1"/>
  <c r="BE9" i="1"/>
  <c r="BF9" i="1"/>
  <c r="BF50" i="1"/>
  <c r="BE50" i="1"/>
  <c r="BB70" i="1"/>
  <c r="AZ70" i="1"/>
  <c r="BA70" i="1"/>
  <c r="BA39" i="1"/>
  <c r="BB39" i="1"/>
  <c r="AZ52" i="1"/>
  <c r="BA52" i="1"/>
  <c r="BB52" i="1"/>
  <c r="BA22" i="1"/>
  <c r="BB22" i="1"/>
  <c r="AZ22" i="1"/>
  <c r="BF41" i="1"/>
  <c r="BE41" i="1"/>
  <c r="BF56" i="1"/>
  <c r="BE56" i="1"/>
  <c r="BE20" i="1"/>
  <c r="BF20" i="1"/>
  <c r="BA38" i="1"/>
  <c r="BB38" i="1"/>
  <c r="AZ38" i="1"/>
  <c r="BA15" i="1"/>
  <c r="BB15" i="1"/>
  <c r="AZ15" i="1"/>
  <c r="BB53" i="1"/>
  <c r="AZ53" i="1"/>
  <c r="BA53" i="1"/>
  <c r="BA27" i="1"/>
  <c r="AZ27" i="1"/>
  <c r="BB27" i="1"/>
  <c r="BE80" i="1"/>
  <c r="BF80" i="1"/>
  <c r="BE60" i="1"/>
  <c r="BF60" i="1"/>
  <c r="BA35" i="1"/>
  <c r="BB35" i="1"/>
  <c r="AZ35" i="1"/>
  <c r="BE52" i="1"/>
  <c r="BF52" i="1"/>
  <c r="BF75" i="1"/>
  <c r="BE75" i="1"/>
  <c r="BB64" i="1"/>
  <c r="BA64" i="1"/>
  <c r="AZ64" i="1"/>
  <c r="BA77" i="1"/>
  <c r="BB77" i="1"/>
  <c r="AZ77" i="1"/>
  <c r="AZ69" i="1"/>
  <c r="BA69" i="1"/>
  <c r="BB69" i="1"/>
  <c r="BA51" i="1"/>
  <c r="BB51" i="1"/>
  <c r="AZ51" i="1"/>
  <c r="BE63" i="1"/>
  <c r="BF63" i="1"/>
  <c r="BE73" i="1"/>
  <c r="BF73" i="1"/>
  <c r="BA68" i="1"/>
  <c r="BB68" i="1"/>
  <c r="AZ68" i="1"/>
  <c r="BA58" i="1"/>
  <c r="BB58" i="1"/>
  <c r="AZ58" i="1"/>
  <c r="BF22" i="1"/>
  <c r="BE22" i="1"/>
  <c r="AZ81" i="1"/>
  <c r="BA81" i="1"/>
  <c r="BB81" i="1"/>
  <c r="BE37" i="1"/>
  <c r="BF37" i="1"/>
  <c r="BE33" i="1"/>
  <c r="BF33" i="1"/>
  <c r="BF4" i="1"/>
  <c r="BE4" i="1"/>
  <c r="BE30" i="1"/>
  <c r="BF30" i="1"/>
  <c r="BF64" i="1"/>
  <c r="BE64" i="1"/>
  <c r="BE40" i="1"/>
  <c r="BF40" i="1"/>
  <c r="BA63" i="1"/>
  <c r="BB63" i="1"/>
  <c r="AZ63" i="1"/>
  <c r="BA34" i="1"/>
  <c r="BB34" i="1"/>
  <c r="AZ34" i="1"/>
  <c r="BA11" i="1"/>
  <c r="BB11" i="1"/>
  <c r="BA18" i="1"/>
  <c r="BB18" i="1"/>
  <c r="AZ18" i="1"/>
  <c r="BA7" i="1"/>
  <c r="BB7" i="1"/>
  <c r="AZ7" i="1"/>
  <c r="BF31" i="1"/>
  <c r="BE31" i="1"/>
  <c r="BF49" i="1"/>
  <c r="BE49" i="1"/>
  <c r="BA9" i="1"/>
  <c r="BB9" i="1"/>
  <c r="BE67" i="1"/>
  <c r="BF67" i="1"/>
  <c r="BF65" i="1"/>
  <c r="BE65" i="1"/>
  <c r="BA44" i="1"/>
  <c r="BB44" i="1"/>
  <c r="BF71" i="1"/>
  <c r="BE71" i="1"/>
  <c r="BE39" i="1"/>
  <c r="BF39" i="1"/>
  <c r="BE19" i="1"/>
  <c r="BF19" i="1"/>
  <c r="BA43" i="1"/>
  <c r="BB43" i="1"/>
  <c r="BE38" i="1"/>
  <c r="BF38" i="1"/>
  <c r="BA72" i="1"/>
  <c r="BB72" i="1"/>
  <c r="AZ72" i="1"/>
  <c r="BB20" i="1"/>
  <c r="BA20" i="1"/>
  <c r="AZ20" i="1"/>
  <c r="BE82" i="1"/>
  <c r="BF82" i="1"/>
  <c r="BA21" i="1"/>
  <c r="BB21" i="1"/>
  <c r="AZ21" i="1"/>
  <c r="AZ31" i="1"/>
  <c r="BA31" i="1"/>
  <c r="BB31" i="1"/>
  <c r="BF72" i="1"/>
  <c r="BE72" i="1"/>
  <c r="AZ60" i="1"/>
  <c r="BA60" i="1"/>
  <c r="BB60" i="1"/>
  <c r="BE32" i="1"/>
  <c r="BF32" i="1"/>
  <c r="BE16" i="1"/>
  <c r="BF16" i="1"/>
  <c r="BA17" i="1"/>
  <c r="BB17" i="1"/>
  <c r="BB26" i="1"/>
  <c r="BA26" i="1"/>
  <c r="AZ26" i="1"/>
  <c r="BA46" i="1"/>
  <c r="BB46" i="1"/>
  <c r="AZ46" i="1"/>
  <c r="BE69" i="1"/>
  <c r="BF69" i="1"/>
  <c r="BL14" i="1"/>
  <c r="BD14" i="1"/>
  <c r="BT14" i="1" s="1"/>
  <c r="BL20" i="1"/>
  <c r="BD20" i="1"/>
  <c r="BT20" i="1" s="1"/>
  <c r="BL72" i="1"/>
  <c r="BD72" i="1"/>
  <c r="BT72" i="1" s="1"/>
  <c r="BD79" i="1"/>
  <c r="BT79" i="1" s="1"/>
  <c r="BL79" i="1"/>
  <c r="BL29" i="1"/>
  <c r="BD29" i="1"/>
  <c r="BT29" i="1" s="1"/>
  <c r="BD46" i="1"/>
  <c r="BT46" i="1" s="1"/>
  <c r="BL46" i="1"/>
  <c r="BL25" i="1"/>
  <c r="BD25" i="1"/>
  <c r="BT25" i="1" s="1"/>
  <c r="BD33" i="1"/>
  <c r="BT33" i="1" s="1"/>
  <c r="BL33" i="1"/>
  <c r="BL28" i="1"/>
  <c r="BD28" i="1"/>
  <c r="BT28" i="1" s="1"/>
  <c r="BL12" i="1"/>
  <c r="BD12" i="1"/>
  <c r="BT12" i="1" s="1"/>
  <c r="BL48" i="1"/>
  <c r="BD48" i="1"/>
  <c r="BT48" i="1" s="1"/>
  <c r="BD22" i="1"/>
  <c r="BT22" i="1" s="1"/>
  <c r="BL22" i="1"/>
  <c r="BL73" i="1"/>
  <c r="BD73" i="1"/>
  <c r="BT73" i="1" s="1"/>
  <c r="BL26" i="1"/>
  <c r="BD26" i="1"/>
  <c r="BT26" i="1" s="1"/>
  <c r="BL68" i="1"/>
  <c r="BD68" i="1"/>
  <c r="BT68" i="1" s="1"/>
  <c r="BD18" i="1"/>
  <c r="BT18" i="1" s="1"/>
  <c r="BL18" i="1"/>
  <c r="BL45" i="1"/>
  <c r="BD45" i="1"/>
  <c r="BT45" i="1" s="1"/>
  <c r="BL27" i="1"/>
  <c r="BD27" i="1"/>
  <c r="BT27" i="1" s="1"/>
  <c r="BL82" i="1"/>
  <c r="BD82" i="1"/>
  <c r="BT82" i="1" s="1"/>
  <c r="BL16" i="1"/>
  <c r="BD16" i="1"/>
  <c r="BT16" i="1" s="1"/>
  <c r="BL74" i="1"/>
  <c r="BD74" i="1"/>
  <c r="BT74" i="1" s="1"/>
  <c r="BL15" i="1"/>
  <c r="BD15" i="1"/>
  <c r="BT15" i="1" s="1"/>
  <c r="BD19" i="1"/>
  <c r="BT19" i="1" s="1"/>
  <c r="BL19" i="1"/>
  <c r="BD76" i="1"/>
  <c r="BT76" i="1" s="1"/>
  <c r="BL76" i="1"/>
  <c r="BD23" i="1"/>
  <c r="BT23" i="1" s="1"/>
  <c r="BL23" i="1"/>
  <c r="BL37" i="1"/>
  <c r="BD37" i="1"/>
  <c r="BT37" i="1" s="1"/>
  <c r="BD41" i="1"/>
  <c r="BT41" i="1" s="1"/>
  <c r="BL41" i="1"/>
  <c r="BL35" i="1"/>
  <c r="BD35" i="1"/>
  <c r="BT35" i="1" s="1"/>
  <c r="BL59" i="1"/>
  <c r="BD59" i="1"/>
  <c r="BT59" i="1" s="1"/>
  <c r="BL57" i="1"/>
  <c r="BD57" i="1"/>
  <c r="BT57" i="1" s="1"/>
  <c r="BL80" i="1"/>
  <c r="BD80" i="1"/>
  <c r="BT80" i="1" s="1"/>
  <c r="BD60" i="1"/>
  <c r="BT60" i="1" s="1"/>
  <c r="BL60" i="1"/>
  <c r="BL30" i="1"/>
  <c r="BD30" i="1"/>
  <c r="BT30" i="1" s="1"/>
  <c r="BL10" i="1"/>
  <c r="BD10" i="1"/>
  <c r="BT10" i="1" s="1"/>
  <c r="BD64" i="1"/>
  <c r="BT64" i="1" s="1"/>
  <c r="BL64" i="1"/>
  <c r="BL77" i="1"/>
  <c r="BD77" i="1"/>
  <c r="BT77" i="1" s="1"/>
  <c r="BL34" i="1"/>
  <c r="BD34" i="1"/>
  <c r="BT34" i="1" s="1"/>
  <c r="BD8" i="1"/>
  <c r="BT8" i="1" s="1"/>
  <c r="BL8" i="1"/>
  <c r="BL81" i="1"/>
  <c r="BD81" i="1"/>
  <c r="BT81" i="1" s="1"/>
  <c r="BD7" i="1"/>
  <c r="BT7" i="1" s="1"/>
  <c r="BL7" i="1"/>
  <c r="BL56" i="1"/>
  <c r="BD56" i="1"/>
  <c r="BT56" i="1" s="1"/>
  <c r="BL53" i="1"/>
  <c r="BD53" i="1"/>
  <c r="BT53" i="1" s="1"/>
  <c r="BL66" i="1"/>
  <c r="BD66" i="1"/>
  <c r="BT66" i="1" s="1"/>
  <c r="BL21" i="1"/>
  <c r="BD21" i="1"/>
  <c r="BT21" i="1" s="1"/>
  <c r="BL67" i="1"/>
  <c r="BD67" i="1"/>
  <c r="BT67" i="1" s="1"/>
  <c r="BL71" i="1"/>
  <c r="BD71" i="1"/>
  <c r="BT71" i="1" s="1"/>
  <c r="BL52" i="1"/>
  <c r="BD52" i="1"/>
  <c r="BT52" i="1" s="1"/>
  <c r="BL32" i="1"/>
  <c r="BD32" i="1"/>
  <c r="BT32" i="1" s="1"/>
  <c r="BD78" i="1"/>
  <c r="BT78" i="1" s="1"/>
  <c r="BL78" i="1"/>
  <c r="BL58" i="1"/>
  <c r="BD58" i="1"/>
  <c r="BT58" i="1" s="1"/>
  <c r="BD70" i="1"/>
  <c r="BT70" i="1" s="1"/>
  <c r="BL70" i="1"/>
  <c r="BD55" i="1"/>
  <c r="BT55" i="1" s="1"/>
  <c r="BL55" i="1"/>
  <c r="BL51" i="1"/>
  <c r="BD51" i="1"/>
  <c r="BT51" i="1" s="1"/>
  <c r="BL42" i="1"/>
  <c r="BD42" i="1"/>
  <c r="BT42" i="1" s="1"/>
  <c r="BD75" i="1"/>
  <c r="BT75" i="1" s="1"/>
  <c r="BL75" i="1"/>
  <c r="BD65" i="1"/>
  <c r="BT65" i="1" s="1"/>
  <c r="BL65" i="1"/>
  <c r="BD13" i="1"/>
  <c r="BT13" i="1" s="1"/>
  <c r="BL13" i="1"/>
  <c r="BL62" i="1"/>
  <c r="BD62" i="1"/>
  <c r="BT62" i="1" s="1"/>
  <c r="BD63" i="1"/>
  <c r="BT63" i="1" s="1"/>
  <c r="BL63" i="1"/>
  <c r="BL54" i="1"/>
  <c r="BD54" i="1"/>
  <c r="BL24" i="1"/>
  <c r="BD24" i="1"/>
  <c r="BT24" i="1" s="1"/>
  <c r="BL38" i="1"/>
  <c r="BD38" i="1"/>
  <c r="BT38" i="1" s="1"/>
  <c r="AJ83" i="1"/>
  <c r="AN83" i="1"/>
  <c r="BR65" i="1" l="1"/>
  <c r="BR36" i="1"/>
  <c r="BP36" i="1"/>
  <c r="BK36" i="1"/>
  <c r="BC36" i="1"/>
  <c r="BS36" i="1"/>
  <c r="BQ36" i="1"/>
  <c r="BT36" i="1"/>
  <c r="BO36" i="1"/>
  <c r="BG36" i="1"/>
  <c r="BF103" i="2"/>
  <c r="BV103" i="2"/>
  <c r="BN103" i="2"/>
  <c r="BQ103" i="2"/>
  <c r="BW103" i="2"/>
  <c r="J103" i="1"/>
  <c r="T103" i="1"/>
  <c r="S103" i="1"/>
  <c r="K103" i="1"/>
  <c r="BU6" i="2"/>
  <c r="BR29" i="1"/>
  <c r="BR43" i="1"/>
  <c r="BP36" i="2"/>
  <c r="BI36" i="2"/>
  <c r="BT36" i="2"/>
  <c r="BF118" i="2"/>
  <c r="BN118" i="2"/>
  <c r="BV118" i="2"/>
  <c r="BJ118" i="2"/>
  <c r="BQ118" i="2"/>
  <c r="BW118" i="2"/>
  <c r="BS36" i="2"/>
  <c r="BM36" i="2"/>
  <c r="BU36" i="2"/>
  <c r="BU115" i="2"/>
  <c r="CH87" i="1"/>
  <c r="CI87" i="1"/>
  <c r="CG87" i="1"/>
  <c r="BT54" i="1"/>
  <c r="BR73" i="1"/>
  <c r="BR79" i="1"/>
  <c r="AZ116" i="2"/>
  <c r="BR80" i="1"/>
  <c r="BS12" i="1"/>
  <c r="BS21" i="1"/>
  <c r="BS81" i="1"/>
  <c r="BS57" i="1"/>
  <c r="BS34" i="1"/>
  <c r="BS66" i="1"/>
  <c r="BS7" i="1"/>
  <c r="BS77" i="1"/>
  <c r="BS8" i="1"/>
  <c r="BS52" i="1"/>
  <c r="BS10" i="1"/>
  <c r="BS53" i="1"/>
  <c r="BS60" i="1"/>
  <c r="BS30" i="1"/>
  <c r="BS64" i="1"/>
  <c r="BR26" i="1"/>
  <c r="BR71" i="1"/>
  <c r="BR10" i="1"/>
  <c r="BR76" i="1"/>
  <c r="BR62" i="1"/>
  <c r="BR49" i="1"/>
  <c r="BR75" i="1"/>
  <c r="BR32" i="1"/>
  <c r="BR13" i="1"/>
  <c r="BR53" i="1"/>
  <c r="BR27" i="1"/>
  <c r="BR59" i="1"/>
  <c r="BS80" i="1"/>
  <c r="BS67" i="1"/>
  <c r="BS65" i="1"/>
  <c r="BS71" i="1"/>
  <c r="BS54" i="1"/>
  <c r="BS24" i="1"/>
  <c r="BS38" i="1"/>
  <c r="BS51" i="1"/>
  <c r="BS78" i="1"/>
  <c r="BS56" i="1"/>
  <c r="BR25" i="1"/>
  <c r="BR56" i="1"/>
  <c r="BR21" i="1"/>
  <c r="BR58" i="1"/>
  <c r="BR19" i="1"/>
  <c r="BR46" i="1"/>
  <c r="BR64" i="1"/>
  <c r="BR72" i="1"/>
  <c r="BS55" i="1"/>
  <c r="BR63" i="1"/>
  <c r="BR12" i="1"/>
  <c r="BR30" i="1"/>
  <c r="BR41" i="1"/>
  <c r="BR24" i="1"/>
  <c r="BR16" i="1"/>
  <c r="BR37" i="1"/>
  <c r="BR48" i="1"/>
  <c r="BR14" i="1"/>
  <c r="BR60" i="1"/>
  <c r="BR5" i="1"/>
  <c r="BS44" i="1"/>
  <c r="BR66" i="1"/>
  <c r="BR81" i="1"/>
  <c r="BR35" i="1"/>
  <c r="BR77" i="1"/>
  <c r="BR38" i="1"/>
  <c r="BR69" i="1"/>
  <c r="BR51" i="1"/>
  <c r="BR68" i="1"/>
  <c r="BR18" i="1"/>
  <c r="BR7" i="1"/>
  <c r="BR34" i="1"/>
  <c r="BR20" i="1"/>
  <c r="BR31" i="1"/>
  <c r="BS59" i="1"/>
  <c r="BS37" i="1"/>
  <c r="BS32" i="1"/>
  <c r="BS18" i="1"/>
  <c r="BS29" i="1"/>
  <c r="BS68" i="1"/>
  <c r="BS41" i="1"/>
  <c r="BS74" i="1"/>
  <c r="BS33" i="1"/>
  <c r="BS48" i="1"/>
  <c r="BS45" i="1"/>
  <c r="BS75" i="1"/>
  <c r="BS63" i="1"/>
  <c r="BS25" i="1"/>
  <c r="BS42" i="1"/>
  <c r="BS20" i="1"/>
  <c r="BS70" i="1"/>
  <c r="BS16" i="1"/>
  <c r="BS62" i="1"/>
  <c r="BS14" i="1"/>
  <c r="BS79" i="1"/>
  <c r="BS19" i="1"/>
  <c r="BS82" i="1"/>
  <c r="BS28" i="1"/>
  <c r="BS73" i="1"/>
  <c r="BS26" i="1"/>
  <c r="BS15" i="1"/>
  <c r="BS58" i="1"/>
  <c r="BS69" i="1"/>
  <c r="BS72" i="1"/>
  <c r="BS76" i="1"/>
  <c r="BS27" i="1"/>
  <c r="BS22" i="1"/>
  <c r="BS13" i="1"/>
  <c r="BS23" i="1"/>
  <c r="BS31" i="1"/>
  <c r="BS46" i="1"/>
  <c r="BS35" i="1"/>
  <c r="BR22" i="1"/>
  <c r="BR52" i="1"/>
  <c r="BR67" i="1"/>
  <c r="BR8" i="1"/>
  <c r="BR55" i="1"/>
  <c r="BR33" i="1"/>
  <c r="BR57" i="1"/>
  <c r="BR82" i="1"/>
  <c r="BR54" i="1"/>
  <c r="BR15" i="1"/>
  <c r="BR23" i="1"/>
  <c r="BR70" i="1"/>
  <c r="BR45" i="1"/>
  <c r="BR74" i="1"/>
  <c r="BR28" i="1"/>
  <c r="BR78" i="1"/>
  <c r="BR42" i="1"/>
  <c r="BL49" i="1"/>
  <c r="BD49" i="1"/>
  <c r="CA87" i="1"/>
  <c r="BU4" i="2"/>
  <c r="BJ117" i="2"/>
  <c r="BQ117" i="2"/>
  <c r="BW117" i="2"/>
  <c r="AY116" i="2"/>
  <c r="BF116" i="2" s="1"/>
  <c r="J96" i="1"/>
  <c r="BQ114" i="2"/>
  <c r="BJ114" i="2"/>
  <c r="BW114" i="2"/>
  <c r="BM6" i="2"/>
  <c r="BS6" i="2"/>
  <c r="BN114" i="2"/>
  <c r="BF114" i="2"/>
  <c r="BV114" i="2"/>
  <c r="BT6" i="2"/>
  <c r="BI6" i="2"/>
  <c r="BP6" i="2"/>
  <c r="BF117" i="2"/>
  <c r="BN117" i="2"/>
  <c r="BV117" i="2"/>
  <c r="BD6" i="1"/>
  <c r="BL6" i="1"/>
  <c r="BH6" i="1"/>
  <c r="AZ6" i="1"/>
  <c r="BR6" i="1" s="1"/>
  <c r="CD87" i="1"/>
  <c r="BQ31" i="1"/>
  <c r="BP52" i="1"/>
  <c r="BQ16" i="1"/>
  <c r="BQ63" i="1"/>
  <c r="BQ23" i="1"/>
  <c r="BQ55" i="1"/>
  <c r="BP66" i="1"/>
  <c r="BP81" i="1"/>
  <c r="BP73" i="1"/>
  <c r="BP65" i="1"/>
  <c r="BP5" i="1"/>
  <c r="BQ76" i="1"/>
  <c r="BP31" i="1"/>
  <c r="BP21" i="1"/>
  <c r="BQ37" i="1"/>
  <c r="BP54" i="1"/>
  <c r="BQ82" i="1"/>
  <c r="BQ51" i="1"/>
  <c r="BP60" i="1"/>
  <c r="BP12" i="1"/>
  <c r="BP57" i="1"/>
  <c r="BP28" i="1"/>
  <c r="BP24" i="1"/>
  <c r="BQ19" i="1"/>
  <c r="BQ18" i="1"/>
  <c r="BP80" i="1"/>
  <c r="BQ58" i="1"/>
  <c r="BP70" i="1"/>
  <c r="BP23" i="1"/>
  <c r="BQ53" i="1"/>
  <c r="BQ20" i="1"/>
  <c r="BP27" i="1"/>
  <c r="BP78" i="1"/>
  <c r="BP63" i="1"/>
  <c r="BQ15" i="1"/>
  <c r="BQ59" i="1"/>
  <c r="BQ62" i="1"/>
  <c r="BQ66" i="1"/>
  <c r="BQ69" i="1"/>
  <c r="BQ8" i="1"/>
  <c r="BQ34" i="1"/>
  <c r="BP29" i="1"/>
  <c r="BP46" i="1"/>
  <c r="BP72" i="1"/>
  <c r="BP18" i="1"/>
  <c r="BQ30" i="1"/>
  <c r="BP58" i="1"/>
  <c r="BQ60" i="1"/>
  <c r="BP38" i="1"/>
  <c r="BQ77" i="1"/>
  <c r="BQ44" i="1"/>
  <c r="BQ57" i="1"/>
  <c r="BQ7" i="1"/>
  <c r="BQ46" i="1"/>
  <c r="BP55" i="1"/>
  <c r="BQ71" i="1"/>
  <c r="BQ52" i="1"/>
  <c r="BP22" i="1"/>
  <c r="BQ72" i="1"/>
  <c r="BQ65" i="1"/>
  <c r="BQ48" i="1"/>
  <c r="BP19" i="1"/>
  <c r="BQ14" i="1"/>
  <c r="BQ35" i="1"/>
  <c r="BP49" i="1"/>
  <c r="BP45" i="1"/>
  <c r="BP26" i="1"/>
  <c r="BP71" i="1"/>
  <c r="BP68" i="1"/>
  <c r="BP43" i="1"/>
  <c r="BQ33" i="1"/>
  <c r="BP64" i="1"/>
  <c r="BP32" i="1"/>
  <c r="BQ26" i="1"/>
  <c r="BP16" i="1"/>
  <c r="BP56" i="1"/>
  <c r="BQ68" i="1"/>
  <c r="BP25" i="1"/>
  <c r="BQ78" i="1"/>
  <c r="BQ79" i="1"/>
  <c r="BQ38" i="1"/>
  <c r="BQ56" i="1"/>
  <c r="BQ70" i="1"/>
  <c r="BQ21" i="1"/>
  <c r="BP34" i="1"/>
  <c r="BQ73" i="1"/>
  <c r="BQ41" i="1"/>
  <c r="BQ81" i="1"/>
  <c r="BP10" i="1"/>
  <c r="BQ28" i="1"/>
  <c r="BQ29" i="1"/>
  <c r="BP48" i="1"/>
  <c r="BP75" i="1"/>
  <c r="BQ67" i="1"/>
  <c r="BP77" i="1"/>
  <c r="BQ80" i="1"/>
  <c r="BP62" i="1"/>
  <c r="BP13" i="1"/>
  <c r="BQ12" i="1"/>
  <c r="BQ75" i="1"/>
  <c r="BP53" i="1"/>
  <c r="BQ45" i="1"/>
  <c r="BP79" i="1"/>
  <c r="BQ74" i="1"/>
  <c r="BQ32" i="1"/>
  <c r="BP37" i="1"/>
  <c r="BP51" i="1"/>
  <c r="BP33" i="1"/>
  <c r="BP20" i="1"/>
  <c r="BQ22" i="1"/>
  <c r="BQ10" i="1"/>
  <c r="BQ27" i="1"/>
  <c r="BP59" i="1"/>
  <c r="BQ24" i="1"/>
  <c r="BP82" i="1"/>
  <c r="BP7" i="1"/>
  <c r="BQ64" i="1"/>
  <c r="BP15" i="1"/>
  <c r="BP76" i="1"/>
  <c r="BP74" i="1"/>
  <c r="BP67" i="1"/>
  <c r="BP41" i="1"/>
  <c r="BP69" i="1"/>
  <c r="BP35" i="1"/>
  <c r="BP14" i="1"/>
  <c r="BQ42" i="1"/>
  <c r="BQ54" i="1"/>
  <c r="BP8" i="1"/>
  <c r="BQ13" i="1"/>
  <c r="BQ25" i="1"/>
  <c r="BP30" i="1"/>
  <c r="BP42" i="1"/>
  <c r="BU43" i="2"/>
  <c r="BU11" i="2"/>
  <c r="BU5" i="2"/>
  <c r="BS4" i="2"/>
  <c r="BN92" i="1"/>
  <c r="BX92" i="1"/>
  <c r="BJ92" i="1"/>
  <c r="BW92" i="1"/>
  <c r="AW95" i="1"/>
  <c r="BN90" i="1"/>
  <c r="BX90" i="1"/>
  <c r="BN100" i="1"/>
  <c r="BX100" i="1"/>
  <c r="BJ90" i="1"/>
  <c r="BW90" i="1"/>
  <c r="BJ100" i="1"/>
  <c r="BW100" i="1"/>
  <c r="AV97" i="1"/>
  <c r="AY97" i="1" s="1"/>
  <c r="BX97" i="1" s="1"/>
  <c r="BW97" i="1"/>
  <c r="BN103" i="1"/>
  <c r="BX103" i="1"/>
  <c r="BJ103" i="1"/>
  <c r="BW103" i="1"/>
  <c r="BY87" i="1"/>
  <c r="BZ87" i="1"/>
  <c r="CB87" i="1"/>
  <c r="CC87" i="1"/>
  <c r="BU87" i="1"/>
  <c r="BV87" i="1"/>
  <c r="BW96" i="1"/>
  <c r="BW87" i="1"/>
  <c r="BX87" i="1"/>
  <c r="BJ83" i="1"/>
  <c r="BN83" i="1"/>
  <c r="AU95" i="1"/>
  <c r="AX95" i="1" s="1"/>
  <c r="BW95" i="1" s="1"/>
  <c r="BJ95" i="1"/>
  <c r="AV95" i="1"/>
  <c r="AY95" i="1" s="1"/>
  <c r="BX95" i="1" s="1"/>
  <c r="BN97" i="1"/>
  <c r="AW97" i="1"/>
  <c r="BN96" i="1"/>
  <c r="AW96" i="1"/>
  <c r="AY83" i="2"/>
  <c r="BV83" i="2" s="1"/>
  <c r="BJ96" i="1"/>
  <c r="AV96" i="1"/>
  <c r="AY96" i="1" s="1"/>
  <c r="BX96" i="1" s="1"/>
  <c r="BO67" i="1"/>
  <c r="BK20" i="1"/>
  <c r="BK7" i="1"/>
  <c r="BK15" i="1"/>
  <c r="BK23" i="1"/>
  <c r="AY97" i="2"/>
  <c r="BF97" i="2" s="1"/>
  <c r="BO12" i="1"/>
  <c r="BO32" i="1"/>
  <c r="BO38" i="1"/>
  <c r="BK57" i="1"/>
  <c r="BO74" i="1"/>
  <c r="BO20" i="1"/>
  <c r="BK8" i="1"/>
  <c r="AY102" i="2"/>
  <c r="BF102" i="2" s="1"/>
  <c r="BK67" i="1"/>
  <c r="BO56" i="1"/>
  <c r="BO35" i="1"/>
  <c r="BK27" i="1"/>
  <c r="BK54" i="1"/>
  <c r="BK63" i="1"/>
  <c r="J39" i="1"/>
  <c r="K39" i="1" s="1"/>
  <c r="BV39" i="2"/>
  <c r="BK73" i="1"/>
  <c r="BN39" i="2"/>
  <c r="BP39" i="2" s="1"/>
  <c r="BO27" i="1"/>
  <c r="BO29" i="1"/>
  <c r="BK60" i="1"/>
  <c r="BK35" i="1"/>
  <c r="BK59" i="1"/>
  <c r="BK37" i="1"/>
  <c r="BK82" i="1"/>
  <c r="BK25" i="1"/>
  <c r="BO48" i="1"/>
  <c r="BK58" i="1"/>
  <c r="BK38" i="1"/>
  <c r="BK52" i="1"/>
  <c r="BO65" i="1"/>
  <c r="BO78" i="1"/>
  <c r="BO18" i="1"/>
  <c r="BK34" i="1"/>
  <c r="BK64" i="1"/>
  <c r="BK30" i="1"/>
  <c r="BK46" i="1"/>
  <c r="BO68" i="1"/>
  <c r="BK16" i="1"/>
  <c r="BK65" i="1"/>
  <c r="BQ50" i="2"/>
  <c r="S50" i="1"/>
  <c r="T50" i="1" s="1"/>
  <c r="BL50" i="1" s="1"/>
  <c r="BJ50" i="2"/>
  <c r="BO7" i="1"/>
  <c r="BO41" i="1"/>
  <c r="BK53" i="1"/>
  <c r="BK22" i="1"/>
  <c r="BF95" i="1"/>
  <c r="BN95" i="1"/>
  <c r="BK81" i="1"/>
  <c r="BO46" i="1"/>
  <c r="BK14" i="1"/>
  <c r="BK33" i="1"/>
  <c r="BK80" i="1"/>
  <c r="BO62" i="1"/>
  <c r="BO21" i="1"/>
  <c r="BO80" i="1"/>
  <c r="BK18" i="1"/>
  <c r="BK42" i="1"/>
  <c r="BK74" i="1"/>
  <c r="BA97" i="1"/>
  <c r="BJ97" i="1"/>
  <c r="BO58" i="1"/>
  <c r="BO66" i="1"/>
  <c r="BO34" i="1"/>
  <c r="BO57" i="1"/>
  <c r="BO45" i="1"/>
  <c r="BO72" i="1"/>
  <c r="BK31" i="1"/>
  <c r="BO64" i="1"/>
  <c r="BO24" i="1"/>
  <c r="BO42" i="1"/>
  <c r="BO52" i="1"/>
  <c r="BO10" i="1"/>
  <c r="BO16" i="1"/>
  <c r="BO26" i="1"/>
  <c r="BO25" i="1"/>
  <c r="BO14" i="1"/>
  <c r="BK78" i="1"/>
  <c r="BK21" i="1"/>
  <c r="BK56" i="1"/>
  <c r="BO75" i="1"/>
  <c r="BO33" i="1"/>
  <c r="BK10" i="1"/>
  <c r="BK24" i="1"/>
  <c r="BK28" i="1"/>
  <c r="BK45" i="1"/>
  <c r="BK19" i="1"/>
  <c r="BK66" i="1"/>
  <c r="BO54" i="1"/>
  <c r="BO51" i="1"/>
  <c r="BO71" i="1"/>
  <c r="BO81" i="1"/>
  <c r="BO30" i="1"/>
  <c r="BO37" i="1"/>
  <c r="BO82" i="1"/>
  <c r="BO73" i="1"/>
  <c r="BK51" i="1"/>
  <c r="BO60" i="1"/>
  <c r="BK76" i="1"/>
  <c r="BO8" i="1"/>
  <c r="BO79" i="1"/>
  <c r="BK69" i="1"/>
  <c r="BK77" i="1"/>
  <c r="BK12" i="1"/>
  <c r="BK55" i="1"/>
  <c r="BO44" i="1"/>
  <c r="BO69" i="1"/>
  <c r="BO63" i="1"/>
  <c r="BO55" i="1"/>
  <c r="BO23" i="1"/>
  <c r="BO22" i="1"/>
  <c r="BK72" i="1"/>
  <c r="BO70" i="1"/>
  <c r="BO76" i="1"/>
  <c r="BK26" i="1"/>
  <c r="BK48" i="1"/>
  <c r="BO13" i="1"/>
  <c r="BO19" i="1"/>
  <c r="BK68" i="1"/>
  <c r="BK62" i="1"/>
  <c r="BK75" i="1"/>
  <c r="BK41" i="1"/>
  <c r="BO53" i="1"/>
  <c r="BO77" i="1"/>
  <c r="BO59" i="1"/>
  <c r="BO15" i="1"/>
  <c r="BO28" i="1"/>
  <c r="BK70" i="1"/>
  <c r="BK32" i="1"/>
  <c r="BK71" i="1"/>
  <c r="BK13" i="1"/>
  <c r="BK49" i="1"/>
  <c r="BK79" i="1"/>
  <c r="BB97" i="1"/>
  <c r="J50" i="1"/>
  <c r="K50" i="1" s="1"/>
  <c r="BH50" i="1" s="1"/>
  <c r="W9" i="1"/>
  <c r="W44" i="1"/>
  <c r="U44" i="1" s="1"/>
  <c r="W40" i="1"/>
  <c r="U40" i="1" s="1"/>
  <c r="W17" i="1"/>
  <c r="U17" i="1" s="1"/>
  <c r="AC17" i="1"/>
  <c r="AA17" i="1" s="1"/>
  <c r="AC9" i="1"/>
  <c r="AC40" i="1"/>
  <c r="AA40" i="1" s="1"/>
  <c r="BE95" i="1"/>
  <c r="BC80" i="1"/>
  <c r="BF96" i="1"/>
  <c r="BE96" i="1"/>
  <c r="BA96" i="1"/>
  <c r="BB96" i="1"/>
  <c r="AT91" i="1"/>
  <c r="BF90" i="1"/>
  <c r="BE90" i="1"/>
  <c r="BA95" i="1"/>
  <c r="BB95" i="1"/>
  <c r="AT101" i="1"/>
  <c r="BF100" i="1"/>
  <c r="BE100" i="1"/>
  <c r="AT102" i="1"/>
  <c r="BE103" i="1"/>
  <c r="BM103" i="1"/>
  <c r="BF103" i="1"/>
  <c r="BA92" i="1"/>
  <c r="BB92" i="1"/>
  <c r="BI92" i="1"/>
  <c r="BE92" i="1"/>
  <c r="BF92" i="1"/>
  <c r="BM92" i="1"/>
  <c r="AS102" i="1"/>
  <c r="BA103" i="1"/>
  <c r="BI103" i="1"/>
  <c r="BB103" i="1"/>
  <c r="AS91" i="1"/>
  <c r="BB90" i="1"/>
  <c r="BA90" i="1"/>
  <c r="AS101" i="1"/>
  <c r="BA100" i="1"/>
  <c r="BB100" i="1"/>
  <c r="BE97" i="1"/>
  <c r="BF97" i="1"/>
  <c r="BV50" i="2"/>
  <c r="BF50" i="2"/>
  <c r="BT50" i="2" s="1"/>
  <c r="BN50" i="2"/>
  <c r="BF95" i="2"/>
  <c r="BN95" i="2"/>
  <c r="BV95" i="2"/>
  <c r="BI4" i="2"/>
  <c r="BP4" i="2"/>
  <c r="BI5" i="2"/>
  <c r="BP5" i="2"/>
  <c r="BN100" i="2"/>
  <c r="BV100" i="2"/>
  <c r="BJ96" i="2"/>
  <c r="BU96" i="2" s="1"/>
  <c r="BQ96" i="2"/>
  <c r="BW96" i="2"/>
  <c r="BQ90" i="2"/>
  <c r="BW90" i="2"/>
  <c r="BJ95" i="2"/>
  <c r="BU95" i="2" s="1"/>
  <c r="BQ95" i="2"/>
  <c r="BW95" i="2"/>
  <c r="BJ92" i="2"/>
  <c r="BU92" i="2" s="1"/>
  <c r="BQ92" i="2"/>
  <c r="BW92" i="2"/>
  <c r="BQ100" i="2"/>
  <c r="BW100" i="2"/>
  <c r="BM11" i="2"/>
  <c r="BS11" i="2"/>
  <c r="BM5" i="2"/>
  <c r="BS5" i="2"/>
  <c r="BM43" i="2"/>
  <c r="BS43" i="2"/>
  <c r="BF90" i="2"/>
  <c r="BN90" i="2"/>
  <c r="BV90" i="2"/>
  <c r="BQ39" i="2"/>
  <c r="BW39" i="2"/>
  <c r="BI11" i="2"/>
  <c r="BP11" i="2"/>
  <c r="BI39" i="2"/>
  <c r="BI43" i="2"/>
  <c r="BP43" i="2"/>
  <c r="BF92" i="2"/>
  <c r="BN92" i="2"/>
  <c r="BV92" i="2"/>
  <c r="BF96" i="2"/>
  <c r="BV96" i="2"/>
  <c r="BN96" i="2"/>
  <c r="BH29" i="1"/>
  <c r="BK29" i="1" s="1"/>
  <c r="BL31" i="1"/>
  <c r="BO31" i="1" s="1"/>
  <c r="BD43" i="1"/>
  <c r="BS43" i="1" s="1"/>
  <c r="BH43" i="1"/>
  <c r="BK43" i="1" s="1"/>
  <c r="BH5" i="1"/>
  <c r="BK5" i="1" s="1"/>
  <c r="T5" i="1"/>
  <c r="S96" i="1"/>
  <c r="S95" i="1"/>
  <c r="S100" i="1"/>
  <c r="J100" i="1"/>
  <c r="J95" i="1"/>
  <c r="BL103" i="1"/>
  <c r="BD103" i="1"/>
  <c r="BT103" i="1" s="1"/>
  <c r="AY101" i="2"/>
  <c r="BF100" i="2"/>
  <c r="BT100" i="2" s="1"/>
  <c r="AZ101" i="2"/>
  <c r="BJ100" i="2"/>
  <c r="BU100" i="2" s="1"/>
  <c r="BJ39" i="2"/>
  <c r="AZ97" i="2"/>
  <c r="BM4" i="2"/>
  <c r="AZ102" i="2"/>
  <c r="BJ90" i="2"/>
  <c r="T4" i="1"/>
  <c r="S90" i="1"/>
  <c r="K4" i="1"/>
  <c r="J90" i="1"/>
  <c r="T11" i="1"/>
  <c r="S92" i="1"/>
  <c r="K11" i="1"/>
  <c r="J92" i="1"/>
  <c r="BC65" i="1"/>
  <c r="AZ83" i="2"/>
  <c r="S39" i="1"/>
  <c r="BC29" i="1"/>
  <c r="BG26" i="1"/>
  <c r="BG7" i="1"/>
  <c r="BC51" i="1"/>
  <c r="BC57" i="1"/>
  <c r="BC10" i="1"/>
  <c r="BC19" i="1"/>
  <c r="BG65" i="1"/>
  <c r="BC22" i="1"/>
  <c r="BG76" i="1"/>
  <c r="BG44" i="1"/>
  <c r="BG64" i="1"/>
  <c r="BC66" i="1"/>
  <c r="BC42" i="1"/>
  <c r="BG55" i="1"/>
  <c r="BG69" i="1"/>
  <c r="BC64" i="1"/>
  <c r="BC20" i="1"/>
  <c r="BC72" i="1"/>
  <c r="BC16" i="1"/>
  <c r="BC15" i="1"/>
  <c r="BC78" i="1"/>
  <c r="BG10" i="1"/>
  <c r="BG57" i="1"/>
  <c r="BG45" i="1"/>
  <c r="BC30" i="1"/>
  <c r="BG46" i="1"/>
  <c r="BC62" i="1"/>
  <c r="BC55" i="1"/>
  <c r="BC34" i="1"/>
  <c r="BC46" i="1"/>
  <c r="BG33" i="1"/>
  <c r="BG37" i="1"/>
  <c r="BC53" i="1"/>
  <c r="BC49" i="1"/>
  <c r="BG32" i="1"/>
  <c r="BG23" i="1"/>
  <c r="BG71" i="1"/>
  <c r="BG13" i="1"/>
  <c r="BG30" i="1"/>
  <c r="BG82" i="1"/>
  <c r="BC63" i="1"/>
  <c r="BG75" i="1"/>
  <c r="BG78" i="1"/>
  <c r="BG66" i="1"/>
  <c r="BG73" i="1"/>
  <c r="BG70" i="1"/>
  <c r="BG59" i="1"/>
  <c r="BG15" i="1"/>
  <c r="BC68" i="1"/>
  <c r="BC77" i="1"/>
  <c r="BC48" i="1"/>
  <c r="BC59" i="1"/>
  <c r="BC76" i="1"/>
  <c r="BG14" i="1"/>
  <c r="BG67" i="1"/>
  <c r="BG18" i="1"/>
  <c r="BG48" i="1"/>
  <c r="BC8" i="1"/>
  <c r="BC74" i="1"/>
  <c r="BG68" i="1"/>
  <c r="BG56" i="1"/>
  <c r="BG21" i="1"/>
  <c r="BG16" i="1"/>
  <c r="BG72" i="1"/>
  <c r="BG35" i="1"/>
  <c r="BG58" i="1"/>
  <c r="BG28" i="1"/>
  <c r="BG60" i="1"/>
  <c r="BG29" i="1"/>
  <c r="BG80" i="1"/>
  <c r="BC18" i="1"/>
  <c r="BC41" i="1"/>
  <c r="BG62" i="1"/>
  <c r="BC43" i="1"/>
  <c r="BC58" i="1"/>
  <c r="BC79" i="1"/>
  <c r="BC60" i="1"/>
  <c r="BC27" i="1"/>
  <c r="BC70" i="1"/>
  <c r="BC75" i="1"/>
  <c r="BC5" i="1"/>
  <c r="BC33" i="1"/>
  <c r="BC32" i="1"/>
  <c r="BC71" i="1"/>
  <c r="BC13" i="1"/>
  <c r="BC54" i="1"/>
  <c r="BC67" i="1"/>
  <c r="BE83" i="1"/>
  <c r="BF83" i="1"/>
  <c r="BG77" i="1"/>
  <c r="BG42" i="1"/>
  <c r="BC81" i="1"/>
  <c r="BC31" i="1"/>
  <c r="BG25" i="1"/>
  <c r="BC28" i="1"/>
  <c r="BC56" i="1"/>
  <c r="BC35" i="1"/>
  <c r="BG27" i="1"/>
  <c r="BG22" i="1"/>
  <c r="BC24" i="1"/>
  <c r="BG20" i="1"/>
  <c r="BC69" i="1"/>
  <c r="BC14" i="1"/>
  <c r="BC37" i="1"/>
  <c r="BC82" i="1"/>
  <c r="BC25" i="1"/>
  <c r="BC12" i="1"/>
  <c r="BC26" i="1"/>
  <c r="BG31" i="1"/>
  <c r="BC7" i="1"/>
  <c r="BC73" i="1"/>
  <c r="BC52" i="1"/>
  <c r="BC45" i="1"/>
  <c r="BA83" i="1"/>
  <c r="BB83" i="1"/>
  <c r="BG34" i="1"/>
  <c r="BG19" i="1"/>
  <c r="BC21" i="1"/>
  <c r="BC38" i="1"/>
  <c r="BC23" i="1"/>
  <c r="BG12" i="1"/>
  <c r="BG41" i="1"/>
  <c r="BG38" i="1"/>
  <c r="BG74" i="1"/>
  <c r="BG52" i="1"/>
  <c r="BG51" i="1"/>
  <c r="BG54" i="1"/>
  <c r="BG53" i="1"/>
  <c r="BG8" i="1"/>
  <c r="BG79" i="1"/>
  <c r="BG81" i="1"/>
  <c r="BG24" i="1"/>
  <c r="BG63" i="1"/>
  <c r="BQ104" i="2" l="1"/>
  <c r="BP103" i="2"/>
  <c r="BU114" i="2"/>
  <c r="BI103" i="2"/>
  <c r="BT103" i="2"/>
  <c r="BS103" i="2"/>
  <c r="BH103" i="1"/>
  <c r="BN104" i="2"/>
  <c r="AZ103" i="1"/>
  <c r="BS114" i="2"/>
  <c r="BM114" i="2"/>
  <c r="BT114" i="2"/>
  <c r="BP114" i="2"/>
  <c r="BU117" i="2"/>
  <c r="BM117" i="2"/>
  <c r="BS117" i="2"/>
  <c r="BP118" i="2"/>
  <c r="BI118" i="2"/>
  <c r="BT118" i="2"/>
  <c r="BS118" i="2"/>
  <c r="BM118" i="2"/>
  <c r="BU118" i="2"/>
  <c r="BI114" i="2"/>
  <c r="BW116" i="2"/>
  <c r="BJ116" i="2"/>
  <c r="BQ116" i="2"/>
  <c r="BR103" i="1"/>
  <c r="BS49" i="1"/>
  <c r="BT49" i="1"/>
  <c r="BQ49" i="1"/>
  <c r="BO49" i="1"/>
  <c r="BS103" i="1"/>
  <c r="BG49" i="1"/>
  <c r="BT6" i="1"/>
  <c r="BS6" i="1"/>
  <c r="BK6" i="1"/>
  <c r="CA87" i="2"/>
  <c r="BZ87" i="2"/>
  <c r="BQ43" i="1"/>
  <c r="BT43" i="1"/>
  <c r="BZ85" i="2"/>
  <c r="BZ86" i="2" s="1"/>
  <c r="CA85" i="2"/>
  <c r="CA86" i="2" s="1"/>
  <c r="BT117" i="2"/>
  <c r="BP117" i="2"/>
  <c r="BI117" i="2"/>
  <c r="AO107" i="2"/>
  <c r="AO108" i="2" s="1"/>
  <c r="AP107" i="2"/>
  <c r="AP108" i="2" s="1"/>
  <c r="AQ107" i="2"/>
  <c r="AR107" i="2"/>
  <c r="AO110" i="2"/>
  <c r="AO109" i="2" s="1"/>
  <c r="AP110" i="2"/>
  <c r="AP109" i="2" s="1"/>
  <c r="AQ110" i="2"/>
  <c r="AR110" i="2"/>
  <c r="BN116" i="2"/>
  <c r="BV116" i="2"/>
  <c r="BQ6" i="1"/>
  <c r="BO6" i="1"/>
  <c r="BG6" i="1"/>
  <c r="BP6" i="1"/>
  <c r="BC6" i="1"/>
  <c r="CD87" i="2"/>
  <c r="CC87" i="2"/>
  <c r="CC85" i="2"/>
  <c r="CC86" i="2" s="1"/>
  <c r="CD85" i="2"/>
  <c r="CD86" i="2" s="1"/>
  <c r="BT116" i="2"/>
  <c r="BI116" i="2"/>
  <c r="AA9" i="1"/>
  <c r="N9" i="1"/>
  <c r="BP103" i="1"/>
  <c r="AN107" i="2"/>
  <c r="AN108" i="2" s="1"/>
  <c r="BQ103" i="1"/>
  <c r="Z110" i="2"/>
  <c r="Z109" i="2" s="1"/>
  <c r="BB107" i="2"/>
  <c r="BB108" i="2" s="1"/>
  <c r="AU107" i="2"/>
  <c r="Q110" i="2"/>
  <c r="Q109" i="2" s="1"/>
  <c r="AL110" i="2"/>
  <c r="AL109" i="2" s="1"/>
  <c r="BI102" i="2"/>
  <c r="BT102" i="2"/>
  <c r="BI90" i="2"/>
  <c r="BT90" i="2"/>
  <c r="BI96" i="2"/>
  <c r="BT96" i="2"/>
  <c r="BI95" i="2"/>
  <c r="BT95" i="2"/>
  <c r="BU50" i="2"/>
  <c r="W110" i="2"/>
  <c r="W109" i="2" s="1"/>
  <c r="S110" i="2"/>
  <c r="S109" i="2" s="1"/>
  <c r="D107" i="2"/>
  <c r="D108" i="2" s="1"/>
  <c r="BI97" i="2"/>
  <c r="BT97" i="2"/>
  <c r="Y107" i="2"/>
  <c r="Y108" i="2" s="1"/>
  <c r="BM90" i="2"/>
  <c r="BU90" i="2"/>
  <c r="AZ107" i="2"/>
  <c r="AZ108" i="2" s="1"/>
  <c r="BU39" i="2"/>
  <c r="O107" i="2"/>
  <c r="O108" i="2" s="1"/>
  <c r="AV110" i="2"/>
  <c r="W107" i="2"/>
  <c r="W108" i="2" s="1"/>
  <c r="BI92" i="2"/>
  <c r="BT92" i="2"/>
  <c r="V107" i="2"/>
  <c r="V108" i="2" s="1"/>
  <c r="G110" i="2"/>
  <c r="G109" i="2" s="1"/>
  <c r="D110" i="2"/>
  <c r="D109" i="2" s="1"/>
  <c r="AM107" i="2"/>
  <c r="AM108" i="2" s="1"/>
  <c r="T110" i="2"/>
  <c r="T109" i="2" s="1"/>
  <c r="AJ107" i="2"/>
  <c r="AJ108" i="2" s="1"/>
  <c r="K110" i="2"/>
  <c r="K109" i="2" s="1"/>
  <c r="AK110" i="2"/>
  <c r="AK109" i="2" s="1"/>
  <c r="AA107" i="2"/>
  <c r="K107" i="2"/>
  <c r="K108" i="2" s="1"/>
  <c r="AB110" i="2"/>
  <c r="AB109" i="2" s="1"/>
  <c r="AH107" i="2"/>
  <c r="I110" i="2"/>
  <c r="P107" i="2"/>
  <c r="P108" i="2" s="1"/>
  <c r="M107" i="2"/>
  <c r="M108" i="2" s="1"/>
  <c r="AH110" i="2"/>
  <c r="N110" i="2"/>
  <c r="N109" i="2" s="1"/>
  <c r="T107" i="2"/>
  <c r="T108" i="2" s="1"/>
  <c r="BX85" i="2"/>
  <c r="BX86" i="2" s="1"/>
  <c r="AD107" i="2"/>
  <c r="AD108" i="2" s="1"/>
  <c r="H107" i="2"/>
  <c r="BA110" i="2"/>
  <c r="BA109" i="2" s="1"/>
  <c r="AY110" i="2"/>
  <c r="AY109" i="2" s="1"/>
  <c r="F110" i="2"/>
  <c r="F109" i="2" s="1"/>
  <c r="BE107" i="2"/>
  <c r="BE108" i="2" s="1"/>
  <c r="C107" i="2"/>
  <c r="C108" i="2" s="1"/>
  <c r="F107" i="2"/>
  <c r="F108" i="2" s="1"/>
  <c r="AF107" i="2"/>
  <c r="AF108" i="2" s="1"/>
  <c r="AG110" i="2"/>
  <c r="AG109" i="2" s="1"/>
  <c r="AE110" i="2"/>
  <c r="AE109" i="2" s="1"/>
  <c r="AK107" i="2"/>
  <c r="AK108" i="2" s="1"/>
  <c r="AN110" i="2"/>
  <c r="AN109" i="2" s="1"/>
  <c r="C110" i="2"/>
  <c r="C109" i="2" s="1"/>
  <c r="R107" i="2"/>
  <c r="E110" i="2"/>
  <c r="E109" i="2" s="1"/>
  <c r="X110" i="2"/>
  <c r="X109" i="2" s="1"/>
  <c r="AB107" i="2"/>
  <c r="AB108" i="2" s="1"/>
  <c r="L107" i="2"/>
  <c r="AC110" i="2"/>
  <c r="AC109" i="2" s="1"/>
  <c r="B110" i="2"/>
  <c r="B109" i="2" s="1"/>
  <c r="AI107" i="2"/>
  <c r="BA107" i="2"/>
  <c r="BA108" i="2" s="1"/>
  <c r="V110" i="2"/>
  <c r="B107" i="2"/>
  <c r="B108" i="2" s="1"/>
  <c r="BD110" i="2"/>
  <c r="BD109" i="2" s="1"/>
  <c r="AV107" i="2"/>
  <c r="AC107" i="2"/>
  <c r="AC108" i="2" s="1"/>
  <c r="AJ110" i="2"/>
  <c r="AJ109" i="2" s="1"/>
  <c r="CE90" i="2" a="1"/>
  <c r="N107" i="2"/>
  <c r="N108" i="2" s="1"/>
  <c r="BB110" i="2"/>
  <c r="BB109" i="2" s="1"/>
  <c r="O110" i="2"/>
  <c r="O109" i="2" s="1"/>
  <c r="AU110" i="2"/>
  <c r="U107" i="2"/>
  <c r="U108" i="2" s="1"/>
  <c r="AG107" i="2"/>
  <c r="AG108" i="2" s="1"/>
  <c r="H110" i="2"/>
  <c r="I107" i="2"/>
  <c r="J110" i="2"/>
  <c r="J109" i="2" s="1"/>
  <c r="BC110" i="2"/>
  <c r="BC109" i="2" s="1"/>
  <c r="AZ110" i="2"/>
  <c r="AZ109" i="2" s="1"/>
  <c r="AL107" i="2"/>
  <c r="AL108" i="2" s="1"/>
  <c r="AA110" i="2"/>
  <c r="G107" i="2"/>
  <c r="G108" i="2" s="1"/>
  <c r="S107" i="2"/>
  <c r="AY107" i="2"/>
  <c r="AY108" i="2" s="1"/>
  <c r="AI110" i="2"/>
  <c r="AF110" i="2"/>
  <c r="AF109" i="2" s="1"/>
  <c r="AD110" i="2"/>
  <c r="AD109" i="2" s="1"/>
  <c r="X107" i="2"/>
  <c r="X108" i="2" s="1"/>
  <c r="M110" i="2"/>
  <c r="M109" i="2" s="1"/>
  <c r="AM110" i="2"/>
  <c r="AM109" i="2" s="1"/>
  <c r="E107" i="2"/>
  <c r="E108" i="2" s="1"/>
  <c r="AE107" i="2"/>
  <c r="AE108" i="2" s="1"/>
  <c r="L110" i="2"/>
  <c r="Z107" i="2"/>
  <c r="Z108" i="2" s="1"/>
  <c r="BC107" i="2"/>
  <c r="BC108" i="2" s="1"/>
  <c r="U110" i="2"/>
  <c r="U109" i="2" s="1"/>
  <c r="R110" i="2"/>
  <c r="P110" i="2"/>
  <c r="P109" i="2" s="1"/>
  <c r="J107" i="2"/>
  <c r="J108" i="2" s="1"/>
  <c r="BD107" i="2"/>
  <c r="BD108" i="2" s="1"/>
  <c r="Y110" i="2"/>
  <c r="Y109" i="2" s="1"/>
  <c r="BE110" i="2"/>
  <c r="BE109" i="2" s="1"/>
  <c r="Q107" i="2"/>
  <c r="Q108" i="2" s="1"/>
  <c r="BX87" i="2"/>
  <c r="BQ93" i="2"/>
  <c r="BY87" i="2"/>
  <c r="BN93" i="2"/>
  <c r="BY85" i="2"/>
  <c r="BY86" i="2" s="1"/>
  <c r="BJ102" i="1"/>
  <c r="BW102" i="1"/>
  <c r="BN101" i="1"/>
  <c r="BX101" i="1"/>
  <c r="BN91" i="1"/>
  <c r="BX91" i="1"/>
  <c r="BJ101" i="1"/>
  <c r="BW101" i="1"/>
  <c r="BJ91" i="1"/>
  <c r="BW91" i="1"/>
  <c r="BN102" i="1"/>
  <c r="BX102" i="1"/>
  <c r="BF83" i="2"/>
  <c r="BN83" i="2"/>
  <c r="AY91" i="2"/>
  <c r="BN91" i="2" s="1"/>
  <c r="J102" i="1"/>
  <c r="BV97" i="2"/>
  <c r="BN97" i="2"/>
  <c r="BP92" i="2"/>
  <c r="S97" i="1"/>
  <c r="BP95" i="2"/>
  <c r="BS50" i="2"/>
  <c r="BV102" i="2"/>
  <c r="S101" i="1"/>
  <c r="BN102" i="2"/>
  <c r="BP102" i="2" s="1"/>
  <c r="J83" i="1"/>
  <c r="J91" i="1" s="1"/>
  <c r="BD50" i="1"/>
  <c r="BS50" i="1" s="1"/>
  <c r="CB85" i="2"/>
  <c r="CB86" i="2" s="1"/>
  <c r="BO103" i="1"/>
  <c r="J97" i="1"/>
  <c r="AA90" i="1"/>
  <c r="AA97" i="1"/>
  <c r="BM50" i="2"/>
  <c r="J101" i="1"/>
  <c r="AA95" i="1"/>
  <c r="AA100" i="1"/>
  <c r="AA101" i="1" s="1"/>
  <c r="U95" i="1"/>
  <c r="U100" i="1"/>
  <c r="U101" i="1" s="1"/>
  <c r="U90" i="1"/>
  <c r="U97" i="1"/>
  <c r="CB87" i="2"/>
  <c r="BK103" i="1"/>
  <c r="E9" i="1"/>
  <c r="K9" i="1" s="1"/>
  <c r="U9" i="1"/>
  <c r="BG43" i="1"/>
  <c r="BO43" i="1"/>
  <c r="AZ50" i="1"/>
  <c r="BR50" i="1" s="1"/>
  <c r="W97" i="1"/>
  <c r="BI97" i="1" s="1"/>
  <c r="E40" i="1"/>
  <c r="W90" i="1"/>
  <c r="BI90" i="1" s="1"/>
  <c r="BI40" i="1"/>
  <c r="AC97" i="1"/>
  <c r="BM97" i="1" s="1"/>
  <c r="N40" i="1"/>
  <c r="AC90" i="1"/>
  <c r="BM90" i="1" s="1"/>
  <c r="BM40" i="1"/>
  <c r="AC96" i="1"/>
  <c r="BM96" i="1" s="1"/>
  <c r="AC102" i="1"/>
  <c r="BM102" i="1" s="1"/>
  <c r="AC83" i="1"/>
  <c r="BM9" i="1"/>
  <c r="E44" i="1"/>
  <c r="K44" i="1" s="1"/>
  <c r="BI44" i="1"/>
  <c r="AC95" i="1"/>
  <c r="BM95" i="1" s="1"/>
  <c r="N17" i="1"/>
  <c r="AC100" i="1"/>
  <c r="BM17" i="1"/>
  <c r="W100" i="1"/>
  <c r="E17" i="1"/>
  <c r="W95" i="1"/>
  <c r="BI95" i="1" s="1"/>
  <c r="BI17" i="1"/>
  <c r="BP90" i="2"/>
  <c r="BF93" i="2"/>
  <c r="BB101" i="1"/>
  <c r="BA101" i="1"/>
  <c r="BB91" i="1"/>
  <c r="BA91" i="1"/>
  <c r="BF102" i="1"/>
  <c r="BE102" i="1"/>
  <c r="BB102" i="1"/>
  <c r="BA102" i="1"/>
  <c r="BP50" i="2"/>
  <c r="BI50" i="2"/>
  <c r="BF101" i="1"/>
  <c r="BE101" i="1"/>
  <c r="BE91" i="1"/>
  <c r="BF91" i="1"/>
  <c r="BP96" i="2"/>
  <c r="BJ101" i="2"/>
  <c r="BQ101" i="2"/>
  <c r="BW101" i="2"/>
  <c r="BJ83" i="2"/>
  <c r="BQ83" i="2"/>
  <c r="BW83" i="2"/>
  <c r="CE87" i="2"/>
  <c r="BM96" i="2"/>
  <c r="BS96" i="2"/>
  <c r="BS92" i="2"/>
  <c r="BM92" i="2"/>
  <c r="BP100" i="2"/>
  <c r="BP104" i="2" s="1"/>
  <c r="BF101" i="2"/>
  <c r="BT101" i="2" s="1"/>
  <c r="BV101" i="2"/>
  <c r="BN101" i="2"/>
  <c r="BJ102" i="2"/>
  <c r="BQ102" i="2"/>
  <c r="BW102" i="2"/>
  <c r="BF98" i="2"/>
  <c r="BM95" i="2"/>
  <c r="BS95" i="2"/>
  <c r="BJ97" i="2"/>
  <c r="BW97" i="2"/>
  <c r="BQ97" i="2"/>
  <c r="BQ98" i="2" s="1"/>
  <c r="BM39" i="2"/>
  <c r="BS39" i="2"/>
  <c r="BS90" i="2"/>
  <c r="BS100" i="2"/>
  <c r="CE85" i="2"/>
  <c r="CE86" i="2" s="1"/>
  <c r="BG103" i="1"/>
  <c r="S102" i="1"/>
  <c r="BD5" i="1"/>
  <c r="BS5" i="1" s="1"/>
  <c r="BL5" i="1"/>
  <c r="BM100" i="2"/>
  <c r="BM104" i="2" s="1"/>
  <c r="BJ104" i="2"/>
  <c r="BJ93" i="2"/>
  <c r="BI100" i="2"/>
  <c r="BF104" i="2"/>
  <c r="K92" i="1"/>
  <c r="BH11" i="1"/>
  <c r="AZ11" i="1"/>
  <c r="T92" i="1"/>
  <c r="BD11" i="1"/>
  <c r="BS11" i="1" s="1"/>
  <c r="BL11" i="1"/>
  <c r="AZ4" i="1"/>
  <c r="BH4" i="1"/>
  <c r="BL4" i="1"/>
  <c r="BD4" i="1"/>
  <c r="AZ91" i="2"/>
  <c r="T39" i="1"/>
  <c r="S83" i="1"/>
  <c r="S91" i="1" s="1"/>
  <c r="AZ39" i="1"/>
  <c r="BH39" i="1"/>
  <c r="BS104" i="2" l="1"/>
  <c r="BC103" i="1"/>
  <c r="BI104" i="2"/>
  <c r="CA107" i="2"/>
  <c r="CA110" i="2"/>
  <c r="BZ110" i="2"/>
  <c r="BU116" i="2"/>
  <c r="BM116" i="2"/>
  <c r="BS116" i="2"/>
  <c r="BZ107" i="2"/>
  <c r="BP116" i="2"/>
  <c r="BP11" i="1"/>
  <c r="BR11" i="1"/>
  <c r="BP4" i="1"/>
  <c r="BR4" i="1"/>
  <c r="BT4" i="1"/>
  <c r="BS4" i="1"/>
  <c r="BP39" i="1"/>
  <c r="BR39" i="1"/>
  <c r="BQ50" i="1"/>
  <c r="BT50" i="1"/>
  <c r="BQ5" i="1"/>
  <c r="BT5" i="1"/>
  <c r="BQ11" i="1"/>
  <c r="BT11" i="1"/>
  <c r="AQ108" i="2"/>
  <c r="AS108" i="2" s="1"/>
  <c r="AS107" i="2"/>
  <c r="AR108" i="2"/>
  <c r="AT108" i="2" s="1"/>
  <c r="AT107" i="2"/>
  <c r="AQ109" i="2"/>
  <c r="AS109" i="2" s="1"/>
  <c r="AS110" i="2"/>
  <c r="AR109" i="2"/>
  <c r="AT109" i="2" s="1"/>
  <c r="AT110" i="2"/>
  <c r="BL84" i="2"/>
  <c r="BK84" i="2"/>
  <c r="AU108" i="2"/>
  <c r="AW107" i="2"/>
  <c r="AV109" i="2"/>
  <c r="AX110" i="2"/>
  <c r="AV108" i="2"/>
  <c r="AX107" i="2"/>
  <c r="AU109" i="2"/>
  <c r="AW110" i="2"/>
  <c r="AA96" i="1"/>
  <c r="AA102" i="1"/>
  <c r="AA83" i="1"/>
  <c r="BQ4" i="1"/>
  <c r="BM93" i="2"/>
  <c r="BI98" i="2"/>
  <c r="BK50" i="1"/>
  <c r="BP50" i="1"/>
  <c r="BI93" i="2"/>
  <c r="BV107" i="2"/>
  <c r="BF91" i="2"/>
  <c r="BP91" i="2" s="1"/>
  <c r="BI83" i="2"/>
  <c r="BT83" i="2"/>
  <c r="BU83" i="2"/>
  <c r="BM102" i="2"/>
  <c r="BU102" i="2"/>
  <c r="BM101" i="2"/>
  <c r="BU101" i="2"/>
  <c r="BJ98" i="2"/>
  <c r="BU97" i="2"/>
  <c r="BK110" i="2"/>
  <c r="BO110" i="2"/>
  <c r="R109" i="2"/>
  <c r="BL110" i="2"/>
  <c r="I108" i="2"/>
  <c r="BG107" i="2"/>
  <c r="BQ110" i="2"/>
  <c r="V109" i="2"/>
  <c r="BJ110" i="2"/>
  <c r="BV110" i="2"/>
  <c r="AA108" i="2"/>
  <c r="BR107" i="2"/>
  <c r="BW107" i="2"/>
  <c r="BG110" i="2"/>
  <c r="I109" i="2"/>
  <c r="BH110" i="2"/>
  <c r="H109" i="2"/>
  <c r="AI108" i="2"/>
  <c r="BY107" i="2"/>
  <c r="BJ107" i="2"/>
  <c r="AI109" i="2"/>
  <c r="BY110" i="2"/>
  <c r="R108" i="2"/>
  <c r="BL107" i="2"/>
  <c r="BX107" i="2"/>
  <c r="AH108" i="2"/>
  <c r="BF110" i="2"/>
  <c r="BN110" i="2"/>
  <c r="L109" i="2"/>
  <c r="BQ107" i="2"/>
  <c r="BH107" i="2"/>
  <c r="H108" i="2"/>
  <c r="S108" i="2"/>
  <c r="BK107" i="2"/>
  <c r="L108" i="2"/>
  <c r="BV108" i="2" s="1"/>
  <c r="BN107" i="2"/>
  <c r="BF107" i="2"/>
  <c r="BO107" i="2"/>
  <c r="AA109" i="2"/>
  <c r="BR110" i="2"/>
  <c r="BW110" i="2"/>
  <c r="BX110" i="2"/>
  <c r="AH109" i="2"/>
  <c r="BS93" i="2"/>
  <c r="BP93" i="2"/>
  <c r="BP97" i="2"/>
  <c r="BP98" i="2" s="1"/>
  <c r="BN98" i="2"/>
  <c r="BP83" i="2"/>
  <c r="BP84" i="2" s="1"/>
  <c r="BO84" i="2"/>
  <c r="BN84" i="2"/>
  <c r="BV91" i="2"/>
  <c r="BO50" i="1"/>
  <c r="BG50" i="1"/>
  <c r="E96" i="1"/>
  <c r="BM97" i="2"/>
  <c r="BM98" i="2" s="1"/>
  <c r="BS97" i="2"/>
  <c r="BS98" i="2" s="1"/>
  <c r="BK11" i="1"/>
  <c r="BS102" i="2"/>
  <c r="E102" i="1"/>
  <c r="U96" i="1"/>
  <c r="U102" i="1"/>
  <c r="U83" i="1"/>
  <c r="U91" i="1" s="1"/>
  <c r="BK4" i="1"/>
  <c r="BO11" i="1"/>
  <c r="BK39" i="1"/>
  <c r="BO5" i="1"/>
  <c r="BO4" i="1"/>
  <c r="BC50" i="1"/>
  <c r="E100" i="1"/>
  <c r="E101" i="1" s="1"/>
  <c r="E95" i="1"/>
  <c r="K17" i="1"/>
  <c r="N96" i="1"/>
  <c r="N102" i="1"/>
  <c r="T9" i="1"/>
  <c r="T102" i="1" s="1"/>
  <c r="N83" i="1"/>
  <c r="W101" i="1"/>
  <c r="BI101" i="1" s="1"/>
  <c r="BI100" i="1"/>
  <c r="N97" i="1"/>
  <c r="N90" i="1"/>
  <c r="T40" i="1"/>
  <c r="T97" i="1" s="1"/>
  <c r="AC91" i="1"/>
  <c r="BM91" i="1" s="1"/>
  <c r="BM83" i="1"/>
  <c r="AC101" i="1"/>
  <c r="BM101" i="1" s="1"/>
  <c r="BM100" i="1"/>
  <c r="N95" i="1"/>
  <c r="N100" i="1"/>
  <c r="N101" i="1" s="1"/>
  <c r="T17" i="1"/>
  <c r="AZ9" i="1"/>
  <c r="BH9" i="1"/>
  <c r="BQ84" i="2"/>
  <c r="E97" i="1"/>
  <c r="E90" i="1"/>
  <c r="K40" i="1"/>
  <c r="K102" i="1"/>
  <c r="AZ44" i="1"/>
  <c r="BH44" i="1"/>
  <c r="K96" i="1"/>
  <c r="BS101" i="2"/>
  <c r="E83" i="1"/>
  <c r="BJ91" i="2"/>
  <c r="BU91" i="2" s="1"/>
  <c r="BW91" i="2"/>
  <c r="BQ91" i="2"/>
  <c r="BM83" i="2"/>
  <c r="BS83" i="2"/>
  <c r="BR84" i="2"/>
  <c r="BI101" i="2"/>
  <c r="BP101" i="2"/>
  <c r="BG5" i="1"/>
  <c r="BD92" i="1"/>
  <c r="BT92" i="1" s="1"/>
  <c r="BL92" i="1"/>
  <c r="AZ92" i="1"/>
  <c r="BR92" i="1" s="1"/>
  <c r="BH92" i="1"/>
  <c r="BG11" i="1"/>
  <c r="BG4" i="1"/>
  <c r="BC4" i="1"/>
  <c r="BC11" i="1"/>
  <c r="BC39" i="1"/>
  <c r="BL39" i="1"/>
  <c r="BD39" i="1"/>
  <c r="BS39" i="1" s="1"/>
  <c r="BP44" i="1" l="1"/>
  <c r="BR44" i="1"/>
  <c r="BS92" i="1"/>
  <c r="BY108" i="2"/>
  <c r="CA108" i="2"/>
  <c r="BY109" i="2"/>
  <c r="CA109" i="2"/>
  <c r="BX108" i="2"/>
  <c r="BZ108" i="2"/>
  <c r="BX109" i="2"/>
  <c r="BZ109" i="2"/>
  <c r="BQ39" i="1"/>
  <c r="BT39" i="1"/>
  <c r="BM84" i="2"/>
  <c r="AA91" i="1"/>
  <c r="AB86" i="1"/>
  <c r="AW108" i="2"/>
  <c r="AX109" i="2"/>
  <c r="AX108" i="2"/>
  <c r="AW109" i="2"/>
  <c r="BK108" i="2"/>
  <c r="BL111" i="2"/>
  <c r="BL108" i="2"/>
  <c r="BG109" i="2"/>
  <c r="BU110" i="2"/>
  <c r="BC9" i="1"/>
  <c r="BP9" i="1"/>
  <c r="BX111" i="2"/>
  <c r="BG92" i="1"/>
  <c r="BQ92" i="1"/>
  <c r="BC92" i="1"/>
  <c r="BP92" i="1"/>
  <c r="BO111" i="2"/>
  <c r="BN111" i="2"/>
  <c r="BJ108" i="2"/>
  <c r="BI110" i="2"/>
  <c r="BT110" i="2"/>
  <c r="BK111" i="2"/>
  <c r="BU107" i="2"/>
  <c r="BK109" i="2"/>
  <c r="BY111" i="2"/>
  <c r="BO108" i="2"/>
  <c r="BH108" i="2"/>
  <c r="BT107" i="2"/>
  <c r="BH111" i="2"/>
  <c r="BQ111" i="2"/>
  <c r="BI91" i="2"/>
  <c r="BT91" i="2"/>
  <c r="BQ108" i="2"/>
  <c r="BR111" i="2"/>
  <c r="BS110" i="2"/>
  <c r="BM110" i="2"/>
  <c r="BS84" i="2"/>
  <c r="BS107" i="2"/>
  <c r="BJ111" i="2"/>
  <c r="BM107" i="2"/>
  <c r="BQ109" i="2"/>
  <c r="BJ109" i="2"/>
  <c r="BW108" i="2"/>
  <c r="BR108" i="2"/>
  <c r="BG111" i="2"/>
  <c r="BF109" i="2"/>
  <c r="BN109" i="2"/>
  <c r="BO109" i="2"/>
  <c r="BG108" i="2"/>
  <c r="BR109" i="2"/>
  <c r="BW109" i="2"/>
  <c r="BP110" i="2"/>
  <c r="BV109" i="2"/>
  <c r="BN108" i="2"/>
  <c r="BF108" i="2"/>
  <c r="BL109" i="2"/>
  <c r="BH109" i="2"/>
  <c r="BP107" i="2"/>
  <c r="BF111" i="2"/>
  <c r="BI107" i="2"/>
  <c r="BK92" i="1"/>
  <c r="BK44" i="1"/>
  <c r="BO92" i="1"/>
  <c r="BH102" i="1"/>
  <c r="BO39" i="1"/>
  <c r="BD97" i="1"/>
  <c r="BT97" i="1" s="1"/>
  <c r="BL97" i="1"/>
  <c r="AZ102" i="1"/>
  <c r="N91" i="1"/>
  <c r="BL9" i="1"/>
  <c r="BD9" i="1"/>
  <c r="T96" i="1"/>
  <c r="AZ40" i="1"/>
  <c r="BH40" i="1"/>
  <c r="K97" i="1"/>
  <c r="K90" i="1"/>
  <c r="BL40" i="1"/>
  <c r="BD40" i="1"/>
  <c r="BS40" i="1" s="1"/>
  <c r="T90" i="1"/>
  <c r="BD17" i="1"/>
  <c r="BS17" i="1" s="1"/>
  <c r="BL17" i="1"/>
  <c r="T100" i="1"/>
  <c r="T95" i="1"/>
  <c r="E91" i="1"/>
  <c r="BH17" i="1"/>
  <c r="AZ17" i="1"/>
  <c r="K95" i="1"/>
  <c r="K100" i="1"/>
  <c r="AZ96" i="1"/>
  <c r="BH96" i="1"/>
  <c r="T83" i="1"/>
  <c r="BC44" i="1"/>
  <c r="K83" i="1"/>
  <c r="BM91" i="2"/>
  <c r="BS91" i="2"/>
  <c r="BL102" i="1"/>
  <c r="BD102" i="1"/>
  <c r="BG39" i="1"/>
  <c r="BS102" i="1" l="1"/>
  <c r="BT102" i="1"/>
  <c r="CG85" i="1"/>
  <c r="CG86" i="1" s="1"/>
  <c r="CI85" i="1"/>
  <c r="CI86" i="1" s="1"/>
  <c r="CH85" i="1"/>
  <c r="CH86" i="1" s="1"/>
  <c r="BS97" i="1"/>
  <c r="BT9" i="1"/>
  <c r="BS9" i="1"/>
  <c r="BP40" i="1"/>
  <c r="BR40" i="1"/>
  <c r="BP17" i="1"/>
  <c r="BR17" i="1"/>
  <c r="BQ40" i="1"/>
  <c r="BT40" i="1"/>
  <c r="BQ17" i="1"/>
  <c r="BT17" i="1"/>
  <c r="BQ102" i="1"/>
  <c r="CA85" i="1"/>
  <c r="CA86" i="1" s="1"/>
  <c r="BQ9" i="1"/>
  <c r="CD85" i="1"/>
  <c r="CD86" i="1" s="1"/>
  <c r="BU108" i="2"/>
  <c r="BM108" i="2"/>
  <c r="BM111" i="2"/>
  <c r="BT109" i="2"/>
  <c r="BS108" i="2"/>
  <c r="BC96" i="1"/>
  <c r="BP96" i="1"/>
  <c r="BC102" i="1"/>
  <c r="BP102" i="1"/>
  <c r="BG97" i="1"/>
  <c r="BQ97" i="1"/>
  <c r="BS111" i="2"/>
  <c r="BT108" i="2"/>
  <c r="BU109" i="2"/>
  <c r="BK40" i="1"/>
  <c r="BI111" i="2"/>
  <c r="BP108" i="2"/>
  <c r="BI108" i="2"/>
  <c r="BP109" i="2"/>
  <c r="BS109" i="2"/>
  <c r="BM109" i="2"/>
  <c r="BP111" i="2"/>
  <c r="BI109" i="2"/>
  <c r="Q106" i="1"/>
  <c r="AV109" i="1"/>
  <c r="AV108" i="1" s="1"/>
  <c r="V109" i="1"/>
  <c r="AX106" i="1"/>
  <c r="AX107" i="1" s="1"/>
  <c r="AL106" i="1"/>
  <c r="AL107" i="1" s="1"/>
  <c r="N109" i="1"/>
  <c r="N108" i="1" s="1"/>
  <c r="AD109" i="1"/>
  <c r="AD108" i="1" s="1"/>
  <c r="AF109" i="1"/>
  <c r="AF108" i="1" s="1"/>
  <c r="AE106" i="1"/>
  <c r="E106" i="1"/>
  <c r="E107" i="1" s="1"/>
  <c r="AJ109" i="1"/>
  <c r="AJ108" i="1" s="1"/>
  <c r="J109" i="1"/>
  <c r="J108" i="1" s="1"/>
  <c r="L109" i="1"/>
  <c r="L108" i="1" s="1"/>
  <c r="AB109" i="1"/>
  <c r="AR109" i="1"/>
  <c r="AR108" i="1" s="1"/>
  <c r="AT109" i="1"/>
  <c r="AS106" i="1"/>
  <c r="S106" i="1"/>
  <c r="S107" i="1" s="1"/>
  <c r="AX109" i="1"/>
  <c r="AX108" i="1" s="1"/>
  <c r="X109" i="1"/>
  <c r="X108" i="1" s="1"/>
  <c r="Z109" i="1"/>
  <c r="Z108" i="1" s="1"/>
  <c r="AP109" i="1"/>
  <c r="AP108" i="1" s="1"/>
  <c r="O106" i="1"/>
  <c r="O107" i="1" s="1"/>
  <c r="E109" i="1"/>
  <c r="E108" i="1" s="1"/>
  <c r="AG106" i="1"/>
  <c r="AG107" i="1" s="1"/>
  <c r="G106" i="1"/>
  <c r="AL109" i="1"/>
  <c r="AL108" i="1" s="1"/>
  <c r="AN109" i="1"/>
  <c r="AN108" i="1" s="1"/>
  <c r="M106" i="1"/>
  <c r="M107" i="1" s="1"/>
  <c r="AC106" i="1"/>
  <c r="AC107" i="1" s="1"/>
  <c r="S109" i="1"/>
  <c r="S108" i="1" s="1"/>
  <c r="AU106" i="1"/>
  <c r="AU107" i="1" s="1"/>
  <c r="U106" i="1"/>
  <c r="U107" i="1" s="1"/>
  <c r="I106" i="1"/>
  <c r="I107" i="1" s="1"/>
  <c r="K106" i="1"/>
  <c r="AA106" i="1"/>
  <c r="AA107" i="1" s="1"/>
  <c r="AQ106" i="1"/>
  <c r="AQ107" i="1" s="1"/>
  <c r="AG109" i="1"/>
  <c r="AG108" i="1" s="1"/>
  <c r="G109" i="1"/>
  <c r="AI106" i="1"/>
  <c r="AI107" i="1" s="1"/>
  <c r="W106" i="1"/>
  <c r="W107" i="1" s="1"/>
  <c r="Y106" i="1"/>
  <c r="AO106" i="1"/>
  <c r="AO107" i="1" s="1"/>
  <c r="Q109" i="1"/>
  <c r="AU109" i="1"/>
  <c r="AU108" i="1" s="1"/>
  <c r="U109" i="1"/>
  <c r="U108" i="1" s="1"/>
  <c r="AW106" i="1"/>
  <c r="AW107" i="1" s="1"/>
  <c r="AK106" i="1"/>
  <c r="AK107" i="1" s="1"/>
  <c r="AM106" i="1"/>
  <c r="AM107" i="1" s="1"/>
  <c r="O109" i="1"/>
  <c r="O108" i="1" s="1"/>
  <c r="AE109" i="1"/>
  <c r="D106" i="1"/>
  <c r="D107" i="1" s="1"/>
  <c r="AI109" i="1"/>
  <c r="AI108" i="1" s="1"/>
  <c r="I109" i="1"/>
  <c r="I108" i="1" s="1"/>
  <c r="AY106" i="1"/>
  <c r="AY107" i="1" s="1"/>
  <c r="M109" i="1"/>
  <c r="M108" i="1" s="1"/>
  <c r="AC109" i="1"/>
  <c r="AC108" i="1" s="1"/>
  <c r="AS109" i="1"/>
  <c r="R106" i="1"/>
  <c r="AW109" i="1"/>
  <c r="AW108" i="1" s="1"/>
  <c r="W109" i="1"/>
  <c r="W108" i="1" s="1"/>
  <c r="K109" i="1"/>
  <c r="AA109" i="1"/>
  <c r="AA108" i="1" s="1"/>
  <c r="AQ109" i="1"/>
  <c r="AQ108" i="1" s="1"/>
  <c r="C106" i="1"/>
  <c r="C107" i="1" s="1"/>
  <c r="AF106" i="1"/>
  <c r="AF107" i="1" s="1"/>
  <c r="F106" i="1"/>
  <c r="F107" i="1" s="1"/>
  <c r="AK109" i="1"/>
  <c r="AK108" i="1" s="1"/>
  <c r="Y109" i="1"/>
  <c r="AO109" i="1"/>
  <c r="AO108" i="1" s="1"/>
  <c r="C109" i="1"/>
  <c r="C108" i="1" s="1"/>
  <c r="P106" i="1"/>
  <c r="P107" i="1" s="1"/>
  <c r="AT106" i="1"/>
  <c r="T106" i="1"/>
  <c r="AY109" i="1"/>
  <c r="AY108" i="1" s="1"/>
  <c r="AM109" i="1"/>
  <c r="AM108" i="1" s="1"/>
  <c r="B106" i="1"/>
  <c r="B107" i="1" s="1"/>
  <c r="N106" i="1"/>
  <c r="N107" i="1" s="1"/>
  <c r="AD106" i="1"/>
  <c r="AD107" i="1" s="1"/>
  <c r="F109" i="1"/>
  <c r="F108" i="1" s="1"/>
  <c r="AH106" i="1"/>
  <c r="AH107" i="1" s="1"/>
  <c r="H106" i="1"/>
  <c r="B109" i="1"/>
  <c r="B108" i="1" s="1"/>
  <c r="L106" i="1"/>
  <c r="L107" i="1" s="1"/>
  <c r="AB106" i="1"/>
  <c r="AR106" i="1"/>
  <c r="AR107" i="1" s="1"/>
  <c r="T109" i="1"/>
  <c r="AV106" i="1"/>
  <c r="AV107" i="1" s="1"/>
  <c r="V106" i="1"/>
  <c r="J106" i="1"/>
  <c r="J107" i="1" s="1"/>
  <c r="Z106" i="1"/>
  <c r="Z107" i="1" s="1"/>
  <c r="AP106" i="1"/>
  <c r="AP107" i="1" s="1"/>
  <c r="D109" i="1"/>
  <c r="D108" i="1" s="1"/>
  <c r="AH109" i="1"/>
  <c r="AH108" i="1" s="1"/>
  <c r="H109" i="1"/>
  <c r="AJ106" i="1"/>
  <c r="AJ107" i="1" s="1"/>
  <c r="X106" i="1"/>
  <c r="X107" i="1" s="1"/>
  <c r="AN106" i="1"/>
  <c r="AN107" i="1" s="1"/>
  <c r="P109" i="1"/>
  <c r="P108" i="1" s="1"/>
  <c r="R109" i="1"/>
  <c r="BY85" i="1"/>
  <c r="BY86" i="1" s="1"/>
  <c r="BZ85" i="1"/>
  <c r="BZ86" i="1" s="1"/>
  <c r="BX85" i="1"/>
  <c r="BX86" i="1" s="1"/>
  <c r="BW85" i="1"/>
  <c r="BW86" i="1" s="1"/>
  <c r="BO17" i="1"/>
  <c r="BO97" i="1"/>
  <c r="BV85" i="1"/>
  <c r="BV86" i="1" s="1"/>
  <c r="CB85" i="1"/>
  <c r="CB86" i="1" s="1"/>
  <c r="CC85" i="1"/>
  <c r="CC86" i="1" s="1"/>
  <c r="BO40" i="1"/>
  <c r="BK17" i="1"/>
  <c r="BO9" i="1"/>
  <c r="BO102" i="1"/>
  <c r="BU85" i="1"/>
  <c r="BU86" i="1" s="1"/>
  <c r="BH95" i="1"/>
  <c r="AZ95" i="1"/>
  <c r="BC40" i="1"/>
  <c r="BL96" i="1"/>
  <c r="BD96" i="1"/>
  <c r="BC17" i="1"/>
  <c r="BG9" i="1"/>
  <c r="AZ97" i="1"/>
  <c r="BR97" i="1" s="1"/>
  <c r="BH97" i="1"/>
  <c r="BH90" i="1"/>
  <c r="AZ90" i="1"/>
  <c r="BD95" i="1"/>
  <c r="BL95" i="1"/>
  <c r="BD90" i="1"/>
  <c r="BL90" i="1"/>
  <c r="T91" i="1"/>
  <c r="K101" i="1"/>
  <c r="AZ100" i="1"/>
  <c r="BH100" i="1"/>
  <c r="T101" i="1"/>
  <c r="BD100" i="1"/>
  <c r="BL100" i="1"/>
  <c r="BG40" i="1"/>
  <c r="BL83" i="1"/>
  <c r="BD83" i="1"/>
  <c r="AZ83" i="1"/>
  <c r="BP83" i="1" s="1"/>
  <c r="BH83" i="1"/>
  <c r="K91" i="1"/>
  <c r="BG17" i="1"/>
  <c r="BG102" i="1"/>
  <c r="W102" i="1"/>
  <c r="BI102" i="1" s="1"/>
  <c r="W96" i="1"/>
  <c r="BI96" i="1" s="1"/>
  <c r="W83" i="1"/>
  <c r="BI9" i="1"/>
  <c r="BS96" i="1" l="1"/>
  <c r="BT96" i="1"/>
  <c r="BS95" i="1"/>
  <c r="BT95" i="1"/>
  <c r="BS90" i="1"/>
  <c r="BT90" i="1"/>
  <c r="BS100" i="1"/>
  <c r="BT100" i="1"/>
  <c r="CG88" i="1"/>
  <c r="CH88" i="1"/>
  <c r="CI88" i="1"/>
  <c r="BP95" i="1"/>
  <c r="BR95" i="1"/>
  <c r="BP90" i="1"/>
  <c r="BR90" i="1"/>
  <c r="BP100" i="1"/>
  <c r="BR100" i="1"/>
  <c r="BQ83" i="1"/>
  <c r="BS83" i="1"/>
  <c r="BK102" i="1"/>
  <c r="BR102" i="1"/>
  <c r="BK96" i="1"/>
  <c r="BR96" i="1"/>
  <c r="BK9" i="1"/>
  <c r="BR9" i="1"/>
  <c r="BQ96" i="1"/>
  <c r="BQ95" i="1"/>
  <c r="BQ90" i="1"/>
  <c r="BQ100" i="1"/>
  <c r="CA88" i="1"/>
  <c r="CD88" i="1"/>
  <c r="BC97" i="1"/>
  <c r="BP97" i="1"/>
  <c r="BY88" i="1"/>
  <c r="BV88" i="1"/>
  <c r="CB88" i="1"/>
  <c r="BZ88" i="1"/>
  <c r="BW88" i="1"/>
  <c r="CC88" i="1"/>
  <c r="BX88" i="1"/>
  <c r="BU88" i="1"/>
  <c r="Y108" i="1"/>
  <c r="BJ109" i="1"/>
  <c r="H108" i="1"/>
  <c r="BA109" i="1"/>
  <c r="AE108" i="1"/>
  <c r="BN109" i="1"/>
  <c r="AE107" i="1"/>
  <c r="BN106" i="1"/>
  <c r="K108" i="1"/>
  <c r="BH109" i="1"/>
  <c r="AZ109" i="1"/>
  <c r="AZ84" i="1"/>
  <c r="BB84" i="1"/>
  <c r="BA84" i="1"/>
  <c r="R108" i="1"/>
  <c r="BF109" i="1"/>
  <c r="AS108" i="1"/>
  <c r="BW108" i="1" s="1"/>
  <c r="BW109" i="1"/>
  <c r="Q108" i="1"/>
  <c r="BE109" i="1"/>
  <c r="AT108" i="1"/>
  <c r="BX108" i="1" s="1"/>
  <c r="BX109" i="1"/>
  <c r="Y107" i="1"/>
  <c r="BJ106" i="1"/>
  <c r="AB108" i="1"/>
  <c r="BM109" i="1"/>
  <c r="BA106" i="1"/>
  <c r="H107" i="1"/>
  <c r="BB106" i="1"/>
  <c r="G107" i="1"/>
  <c r="G108" i="1"/>
  <c r="BB109" i="1"/>
  <c r="BH106" i="1"/>
  <c r="K107" i="1"/>
  <c r="AZ106" i="1"/>
  <c r="V107" i="1"/>
  <c r="BI106" i="1"/>
  <c r="BR106" i="1" s="1"/>
  <c r="BD84" i="1"/>
  <c r="BE84" i="1"/>
  <c r="BF84" i="1"/>
  <c r="BD106" i="1"/>
  <c r="BT106" i="1" s="1"/>
  <c r="T107" i="1"/>
  <c r="BL106" i="1"/>
  <c r="T108" i="1"/>
  <c r="BL109" i="1"/>
  <c r="BD109" i="1"/>
  <c r="BT109" i="1" s="1"/>
  <c r="AT107" i="1"/>
  <c r="BX107" i="1" s="1"/>
  <c r="BX106" i="1"/>
  <c r="BF106" i="1"/>
  <c r="R107" i="1"/>
  <c r="BW106" i="1"/>
  <c r="AS107" i="1"/>
  <c r="BW107" i="1" s="1"/>
  <c r="V108" i="1"/>
  <c r="BI109" i="1"/>
  <c r="AB107" i="1"/>
  <c r="BM106" i="1"/>
  <c r="BE106" i="1"/>
  <c r="Q107" i="1"/>
  <c r="BO90" i="1"/>
  <c r="BK100" i="1"/>
  <c r="BO95" i="1"/>
  <c r="BO96" i="1"/>
  <c r="BK90" i="1"/>
  <c r="BK97" i="1"/>
  <c r="BO100" i="1"/>
  <c r="BK95" i="1"/>
  <c r="BC83" i="1"/>
  <c r="BC84" i="1" s="1"/>
  <c r="BJ84" i="1"/>
  <c r="BG83" i="1"/>
  <c r="BG84" i="1" s="1"/>
  <c r="BN84" i="1"/>
  <c r="BL84" i="1"/>
  <c r="BO83" i="1"/>
  <c r="BO84" i="1" s="1"/>
  <c r="BM84" i="1"/>
  <c r="BC90" i="1"/>
  <c r="BG100" i="1"/>
  <c r="BH84" i="1"/>
  <c r="BD101" i="1"/>
  <c r="BL101" i="1"/>
  <c r="BC100" i="1"/>
  <c r="AZ101" i="1"/>
  <c r="BH101" i="1"/>
  <c r="BG96" i="1"/>
  <c r="BH91" i="1"/>
  <c r="AZ91" i="1"/>
  <c r="BD91" i="1"/>
  <c r="BL91" i="1"/>
  <c r="BG90" i="1"/>
  <c r="BC95" i="1"/>
  <c r="BG95" i="1"/>
  <c r="BI83" i="1"/>
  <c r="W91" i="1"/>
  <c r="BI91" i="1" s="1"/>
  <c r="BS101" i="1" l="1"/>
  <c r="BT101" i="1"/>
  <c r="BS91" i="1"/>
  <c r="BT91" i="1"/>
  <c r="BR109" i="1"/>
  <c r="BR91" i="1"/>
  <c r="BS106" i="1"/>
  <c r="BS109" i="1"/>
  <c r="BP101" i="1"/>
  <c r="BR101" i="1"/>
  <c r="BK83" i="1"/>
  <c r="BR83" i="1"/>
  <c r="BQ101" i="1"/>
  <c r="BQ91" i="1"/>
  <c r="BP106" i="1"/>
  <c r="BP109" i="1"/>
  <c r="BQ106" i="1"/>
  <c r="BC91" i="1"/>
  <c r="BP91" i="1"/>
  <c r="BQ109" i="1"/>
  <c r="BA107" i="1"/>
  <c r="BO101" i="1"/>
  <c r="BI108" i="1"/>
  <c r="BM107" i="1"/>
  <c r="BF107" i="1"/>
  <c r="BM108" i="1"/>
  <c r="BN107" i="1"/>
  <c r="BB108" i="1"/>
  <c r="BA108" i="1"/>
  <c r="BJ107" i="1"/>
  <c r="BH108" i="1"/>
  <c r="AZ108" i="1"/>
  <c r="BO106" i="1"/>
  <c r="BG106" i="1"/>
  <c r="BK109" i="1"/>
  <c r="BH107" i="1"/>
  <c r="AZ107" i="1"/>
  <c r="BN108" i="1"/>
  <c r="BI107" i="1"/>
  <c r="BK106" i="1"/>
  <c r="BC106" i="1"/>
  <c r="BG109" i="1"/>
  <c r="BO109" i="1"/>
  <c r="BE108" i="1"/>
  <c r="BC109" i="1"/>
  <c r="BE107" i="1"/>
  <c r="BL108" i="1"/>
  <c r="BD108" i="1"/>
  <c r="BT108" i="1" s="1"/>
  <c r="BB107" i="1"/>
  <c r="BD107" i="1"/>
  <c r="BT107" i="1" s="1"/>
  <c r="BL107" i="1"/>
  <c r="BF108" i="1"/>
  <c r="BJ108" i="1"/>
  <c r="BO91" i="1"/>
  <c r="BK101" i="1"/>
  <c r="BK91" i="1"/>
  <c r="BC101" i="1"/>
  <c r="BG101" i="1"/>
  <c r="BG91" i="1"/>
  <c r="BI84" i="1"/>
  <c r="BR107" i="1" l="1"/>
  <c r="BS107" i="1"/>
  <c r="BS108" i="1"/>
  <c r="BK84" i="1"/>
  <c r="BR108" i="1"/>
  <c r="BP108" i="1"/>
  <c r="BQ108" i="1"/>
  <c r="BP107" i="1"/>
  <c r="BQ107" i="1"/>
  <c r="BO107" i="1"/>
  <c r="BG107" i="1"/>
  <c r="BK107" i="1"/>
  <c r="BC107" i="1"/>
  <c r="BO108" i="1"/>
  <c r="BG108" i="1"/>
  <c r="BK108" i="1"/>
  <c r="BC10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tc={ADCCB1F1-1FC3-4285-BD11-9DFB4480165F}</author>
    <author>tc={378DF32B-44E1-4008-85F1-6C6D063E17DC}</author>
    <author>tc={ECCE6027-780B-4C3F-857C-7D985F7048D1}</author>
    <author>tc={7C802109-612F-4BCC-9B94-3CB2BD5A048B}</author>
    <author>tc={53853EEE-6B01-4533-87F1-6BC2362D76B6}</author>
    <author>tc={D35DA3EE-C637-4572-A494-B19764A73596}</author>
    <author>tc={690AE0FC-F0B0-4DE0-BFDF-D5F79949FC7A}</author>
    <author>tc={3C58758E-5290-40F3-AB40-FAFC2FBD7DA4}</author>
    <author>tc={0B04FC08-A77B-4632-A0D9-30DF220F3B42}</author>
    <author>tc={8DB25090-B2AF-4282-A08F-2834F323C40D}</author>
    <author>tc={7F8EF252-CF7D-4747-AA65-4FEAA280DC8F}</author>
    <author>tc={AAD24D00-ABB3-418A-82B3-6A9EDEC38AFA}</author>
    <author>tc={EDCE5C86-7678-45EF-A360-C3C6DAFBC443}</author>
    <author>tc={94291238-2156-4964-8648-24B108C0C48F}</author>
    <author>tc={4052C188-2799-43D8-B12C-9D58949D4F14}</author>
    <author>tc={8825CD39-40A7-4500-80E9-7193CB892AFF}</author>
    <author>tc={A35F2833-DDD4-4C74-8359-746AE24F875E}</author>
    <author>tc={6E813ED9-AA33-4A8A-B10A-A67C66CB4800}</author>
    <author>tc={893663B5-CFD1-4466-ACFF-44B08745154E}</author>
    <author>tc={08AF3315-F05C-4704-8213-FD3374378AF7}</author>
    <author>tc={4BF01510-49C5-4263-A988-0487E422C74C}</author>
    <author>tc={EA47ED82-6A07-4702-8765-C92884AF1040}</author>
    <author>tc={7A00BF54-4304-4FAB-BC8E-95183E3AA644}</author>
    <author>tc={7A3FE6EF-8E07-4127-AA08-E39E90402F09}</author>
    <author>tc={CDA106A7-AD72-4EBA-9ACB-0DC7C33F88D0}</author>
    <author>tc={65B40F43-B9CC-412F-8EB4-E2BEA369C3A1}</author>
    <author>tc={30E319AA-FC74-4F7C-B064-22A3086197A8}</author>
    <author>tc={635AC468-3F3A-434C-B571-02B9A3145314}</author>
    <author>tc={9BFABBA0-3CF4-4FC6-9218-9B9E4A7B0A8A}</author>
    <author>tc={0F4F1935-AC77-4194-ABD5-A49B56D202EB}</author>
    <author>tc={EA28E4D2-5301-479A-884F-71E5C05BB0C1}</author>
    <author>tc={682EDE40-3DBB-4F4F-A870-AB1C4F47FE3E}</author>
    <author>tc={4932C571-EC73-493F-9532-C2C9899FD64B}</author>
    <author>tc={2F9AC533-960C-4029-B00F-B21CF55F283B}</author>
    <author>tc={D4293658-678F-4A0C-8428-28561ECC217E}</author>
    <author>tc={6E8A2C69-E4EE-4F87-B5B5-31F6797323D4}</author>
  </authors>
  <commentList>
    <comment ref="F3" authorId="0" shapeId="0" xr:uid="{ADCCB1F1-1FC3-4285-BD11-9DFB4480165F}">
      <text>
        <t>[Threaded comment]
Your version of Excel allows you to read this threaded comment; however, any edits to it will get removed if the file is opened in a newer version of Excel. Learn more: https://go.microsoft.com/fwlink/?linkid=870924
Comment:
    552460</t>
      </text>
    </comment>
    <comment ref="O3" authorId="1" shapeId="0" xr:uid="{378DF32B-44E1-4008-85F1-6C6D063E17DC}">
      <text>
        <t>[Threaded comment]
Your version of Excel allows you to read this threaded comment; however, any edits to it will get removed if the file is opened in a newer version of Excel. Learn more: https://go.microsoft.com/fwlink/?linkid=870924
Comment:
    552460</t>
      </text>
    </comment>
    <comment ref="U3" authorId="2" shapeId="0" xr:uid="{ECCE6027-780B-4C3F-857C-7D985F7048D1}">
      <text>
        <t>[Threaded comment]
Your version of Excel allows you to read this threaded comment; however, any edits to it will get removed if the file is opened in a newer version of Excel. Learn more: https://go.microsoft.com/fwlink/?linkid=870924
Comment:
    V.a toetusfond 352000. Sh KOV-de omavaheline arvlemine.</t>
      </text>
    </comment>
    <comment ref="V3" authorId="3" shapeId="0" xr:uid="{7C802109-612F-4BCC-9B94-3CB2BD5A048B}">
      <text>
        <t>[Threaded comment]
Your version of Excel allows you to read this threaded comment; however, any edits to it will get removed if the file is opened in a newer version of Excel. Learn more: https://go.microsoft.com/fwlink/?linkid=870924
Comment:
    322020 Koolieelsete lasteasutuste kohatasu, TP füüsilised isikud</t>
      </text>
    </comment>
    <comment ref="W3" authorId="4" shapeId="0" xr:uid="{53853EEE-6B01-4533-87F1-6BC2362D76B6}">
      <text>
        <t>[Threaded comment]
Your version of Excel allows you to read this threaded comment; however, any edits to it will get removed if the file is opened in a newer version of Excel. Learn more: https://go.microsoft.com/fwlink/?linkid=870924
Comment:
     322040 Tasu toitlustamiskuludeks, TP füüsilised isikud.
Võib sisaldada väikses määras töötajate makstud osa.</t>
      </text>
    </comment>
    <comment ref="X3" authorId="5" shapeId="0" xr:uid="{D35DA3EE-C637-4572-A494-B19764A73596}">
      <text>
        <t>[Threaded comment]
Your version of Excel allows you to read this threaded comment; however, any edits to it will get removed if the file is opened in a newer version of Excel. Learn more: https://go.microsoft.com/fwlink/?linkid=870924
Comment:
    322030 Tasu töövihikute, õppematerjali ja muude õppekulude katteks, TP füüsilised isikud</t>
      </text>
    </comment>
    <comment ref="AA3" authorId="6" shapeId="0" xr:uid="{690AE0FC-F0B0-4DE0-BFDF-D5F79949FC7A}">
      <text>
        <t>[Threaded comment]
Your version of Excel allows you to read this threaded comment; however, any edits to it will get removed if the file is opened in a newer version of Excel. Learn more: https://go.microsoft.com/fwlink/?linkid=870924
Comment:
    V.a toetusfond 352000. Sh KOV-de omavaheline arvlemine.</t>
      </text>
    </comment>
    <comment ref="AB3" authorId="7" shapeId="0" xr:uid="{3C58758E-5290-40F3-AB40-FAFC2FBD7DA4}">
      <text>
        <t>[Threaded comment]
Your version of Excel allows you to read this threaded comment; however, any edits to it will get removed if the file is opened in a newer version of Excel. Learn more: https://go.microsoft.com/fwlink/?linkid=870924
Comment:
    322020 Koolieelsete lasteasutuste kohatasu, TP füüsilised isikud.
Võib sisaldada väikses määras töötajate makstud osa.</t>
      </text>
    </comment>
    <comment ref="AC3" authorId="8" shapeId="0" xr:uid="{0B04FC08-A77B-4632-A0D9-30DF220F3B42}">
      <text>
        <t>[Threaded comment]
Your version of Excel allows you to read this threaded comment; however, any edits to it will get removed if the file is opened in a newer version of Excel. Learn more: https://go.microsoft.com/fwlink/?linkid=870924
Comment:
     322040 Tasu toitlustamiskuludeks, TP füüsilised isikud</t>
      </text>
    </comment>
    <comment ref="AD3" authorId="9" shapeId="0" xr:uid="{8DB25090-B2AF-4282-A08F-2834F323C40D}">
      <text>
        <t>[Threaded comment]
Your version of Excel allows you to read this threaded comment; however, any edits to it will get removed if the file is opened in a newer version of Excel. Learn more: https://go.microsoft.com/fwlink/?linkid=870924
Comment:
    322030 Tasu töövihikute, õppematerjali ja muude õppekulude katteks, TP füüsilised isikud</t>
      </text>
    </comment>
    <comment ref="BN3" authorId="10" shapeId="0" xr:uid="{7F8EF252-CF7D-4747-AA65-4FEAA280DC8F}">
      <text>
        <t>[Threaded comment]
Your version of Excel allows you to read this threaded comment; however, any edits to it will get removed if the file is opened in a newer version of Excel. Learn more: https://go.microsoft.com/fwlink/?linkid=870924
Comment:
    See siin ei näita tasu teises lasteaias käiva lapse eest, vaid üksnes kui suur on laekunud tulu kõigi vastava KOV lasteaias käivate laste kohta kuus.</t>
      </text>
    </comment>
    <comment ref="CD3" authorId="11" shapeId="0" xr:uid="{AAD24D00-ABB3-418A-82B3-6A9EDEC38AFA}">
      <text>
        <t>[Threaded comment]
Your version of Excel allows you to read this threaded comment; however, any edits to it will get removed if the file is opened in a newer version of Excel. Learn more: https://go.microsoft.com/fwlink/?linkid=870924
Comment:
    Arvestuslikud tulud (tasandusfond 2025) + tulude-kulude tasandus (tasandusfond 2025) + väikesaarte toetus (tasandusfond 2025) + keskkonnatasud (2022-2024 keskmine) jagatuna arvestusliku kuluvajadusega koos väiksesaarte toetusega (tasandusfond 2025).</t>
      </text>
    </comment>
    <comment ref="CE3" authorId="12" shapeId="0" xr:uid="{EDCE5C86-7678-45EF-A360-C3C6DAFBC443}">
      <text>
        <t>[Threaded comment]
Your version of Excel allows you to read this threaded comment; however, any edits to it will get removed if the file is opened in a newer version of Excel. Learn more: https://go.microsoft.com/fwlink/?linkid=870924
Comment:
    Toimetulev: tulukus &lt;101%;
Keskmiselt toimetulev 101%-110%
Tulukas &gt;=110%</t>
      </text>
    </comment>
    <comment ref="AB7" authorId="13" shapeId="0" xr:uid="{94291238-2156-4964-8648-24B108C0C48F}">
      <text>
        <t>[Threaded comment]
Your version of Excel allows you to read this threaded comment; however, any edits to it will get removed if the file is opened in a newer version of Excel. Learn more: https://go.microsoft.com/fwlink/?linkid=870924
Comment:
    Lasteaia kohatasu on 0.</t>
      </text>
    </comment>
    <comment ref="N9" authorId="14" shapeId="0" xr:uid="{4052C188-2799-43D8-B12C-9D58949D4F14}">
      <text>
        <t>[Threaded comment]
Your version of Excel allows you to read this threaded comment; however, any edits to it will get removed if the file is opened in a newer version of Excel. Learn more: https://go.microsoft.com/fwlink/?linkid=870924
Comment:
    Lisatud lastevanemate toitlusttasu</t>
      </text>
    </comment>
    <comment ref="W9" authorId="15" shapeId="0" xr:uid="{8825CD39-40A7-4500-80E9-7193CB892AFF}">
      <text>
        <t>[Threaded comment]
Your version of Excel allows you to read this threaded comment; however, any edits to it will get removed if the file is opened in a newer version of Excel. Learn more: https://go.microsoft.com/fwlink/?linkid=870924
Comment:
    Vanemad arvlevad otse toitlustajaga. Seetõttu lisatud siia teiste KOV-de keskmine kulu lapse kohta aastas, et tulemused oleks võrreldavad.</t>
      </text>
    </comment>
    <comment ref="AC9" authorId="16" shapeId="0" xr:uid="{A35F2833-DDD4-4C74-8359-746AE24F875E}">
      <text>
        <t>[Threaded comment]
Your version of Excel allows you to read this threaded comment; however, any edits to it will get removed if the file is opened in a newer version of Excel. Learn more: https://go.microsoft.com/fwlink/?linkid=870924
Comment:
    Vanemad arvlevad otse toitlustajaga. Seetõttu lisatud siia teiste KOV-de keskmine kulu lapse kohta aastas, et tulemused oleks võrreldavad.</t>
      </text>
    </comment>
    <comment ref="BN12" authorId="17" shapeId="0" xr:uid="{6E813ED9-AA33-4A8A-B10A-A67C66CB4800}">
      <text>
        <t>[Threaded comment]
Your version of Excel allows you to read this threaded comment; however, any edits to it will get removed if the file is opened in a newer version of Excel. Learn more: https://go.microsoft.com/fwlink/?linkid=870924
Comment:
    Kuusalu vald maksab oma laste eest. See jagatis on siin küll saadud raha kõigi Loksa lasteaias käivate laste kohta ja mitte üksnes mujalt tulnud laste kohta. Seetõttu ei näita see siin päris tasu lapse eest.</t>
      </text>
    </comment>
    <comment ref="N17" authorId="18" shapeId="0" xr:uid="{893663B5-CFD1-4466-ACFF-44B08745154E}">
      <text>
        <t>[Threaded comment]
Your version of Excel allows you to read this threaded comment; however, any edits to it will get removed if the file is opened in a newer version of Excel. Learn more: https://go.microsoft.com/fwlink/?linkid=870924
Comment:
    Lisatud lastevanemate toitlustustasu</t>
      </text>
    </comment>
    <comment ref="W17" authorId="19" shapeId="0" xr:uid="{08AF3315-F05C-4704-8213-FD3374378AF7}">
      <text>
        <t>[Threaded comment]
Your version of Excel allows you to read this threaded comment; however, any edits to it will get removed if the file is opened in a newer version of Excel. Learn more: https://go.microsoft.com/fwlink/?linkid=870924
Comment:
    Vanemad arvlevad otse toitlustajaga. Seetõttu lisatud siia teiste KOV-de keskmine kulu lapse kohta aastas, et tulemused oleks võrreldavad.</t>
      </text>
    </comment>
    <comment ref="AC17" authorId="20" shapeId="0" xr:uid="{4BF01510-49C5-4263-A988-0487E422C74C}">
      <text>
        <t>[Threaded comment]
Your version of Excel allows you to read this threaded comment; however, any edits to it will get removed if the file is opened in a newer version of Excel. Learn more: https://go.microsoft.com/fwlink/?linkid=870924
Comment:
    Vanemad arvlevad otse toitlustajaga. Seetõttu lisatud siia teiste KOV-de keskmine kulu lapse kohta aastas, et tulemused oleks võrreldavad.</t>
      </text>
    </comment>
    <comment ref="U31" authorId="21" shapeId="0" xr:uid="{EA47ED82-6A07-4702-8765-C92884AF1040}">
      <text>
        <t>[Threaded comment]
Your version of Excel allows you to read this threaded comment; however, any edits to it will get removed if the file is opened in a newer version of Excel. Learn more: https://go.microsoft.com/fwlink/?linkid=870924
Comment:
    Lisatud koolieelse lasteasutuse kohatasu tulu muu hariduse halduse tegevusala alt, mis laekus teistelt KOV-idelt</t>
      </text>
    </comment>
    <comment ref="W33" authorId="22" shapeId="0" xr:uid="{7A00BF54-4304-4FAB-BC8E-95183E3AA644}">
      <text>
        <t>[Threaded comment]
Your version of Excel allows you to read this threaded comment; however, any edits to it will get removed if the file is opened in a newer version of Excel. Learn more: https://go.microsoft.com/fwlink/?linkid=870924
Comment:
    Toit tasuta.</t>
      </text>
    </comment>
    <comment ref="AC33" authorId="23" shapeId="0" xr:uid="{7A3FE6EF-8E07-4127-AA08-E39E90402F09}">
      <text>
        <t>[Threaded comment]
Your version of Excel allows you to read this threaded comment; however, any edits to it will get removed if the file is opened in a newer version of Excel. Learn more: https://go.microsoft.com/fwlink/?linkid=870924
Comment:
    Toit tasuta.</t>
      </text>
    </comment>
    <comment ref="N40" authorId="24" shapeId="0" xr:uid="{CDA106A7-AD72-4EBA-9ACB-0DC7C33F88D0}">
      <text>
        <t>[Threaded comment]
Your version of Excel allows you to read this threaded comment; however, any edits to it will get removed if the file is opened in a newer version of Excel. Learn more: https://go.microsoft.com/fwlink/?linkid=870924
Comment:
    Lisatud lastevanemate toitlustustasu</t>
      </text>
    </comment>
    <comment ref="W40" authorId="25" shapeId="0" xr:uid="{65B40F43-B9CC-412F-8EB4-E2BEA369C3A1}">
      <text>
        <t>[Threaded comment]
Your version of Excel allows you to read this threaded comment; however, any edits to it will get removed if the file is opened in a newer version of Excel. Learn more: https://go.microsoft.com/fwlink/?linkid=870924
Comment:
    Vanemad arvlevad otse toitlustajaga. Seetõttu lisatud siia teiste KOV-de keskmine kulu lapse kohta aastas, et tulemused oleks võrreldavad.</t>
      </text>
    </comment>
    <comment ref="AC40" authorId="26" shapeId="0" xr:uid="{30E319AA-FC74-4F7C-B064-22A3086197A8}">
      <text>
        <t>[Threaded comment]
Your version of Excel allows you to read this threaded comment; however, any edits to it will get removed if the file is opened in a newer version of Excel. Learn more: https://go.microsoft.com/fwlink/?linkid=870924
Comment:
    Vanemad arvlevad otse toitlustajaga. Seetõttu lisatud siia teiste KOV-de keskmine kulu lapse kohta aastas, et tulemused oleks võrreldavad.</t>
      </text>
    </comment>
    <comment ref="N44" authorId="27" shapeId="0" xr:uid="{635AC468-3F3A-434C-B571-02B9A3145314}">
      <text>
        <t>[Threaded comment]
Your version of Excel allows you to read this threaded comment; however, any edits to it will get removed if the file is opened in a newer version of Excel. Learn more: https://go.microsoft.com/fwlink/?linkid=870924
Comment:
    Lisatud lastevanemate toitlustustasu</t>
      </text>
    </comment>
    <comment ref="W44" authorId="28" shapeId="0" xr:uid="{9BFABBA0-3CF4-4FC6-9218-9B9E4A7B0A8A}">
      <text>
        <t>[Threaded comment]
Your version of Excel allows you to read this threaded comment; however, any edits to it will get removed if the file is opened in a newer version of Excel. Learn more: https://go.microsoft.com/fwlink/?linkid=870924
Comment:
    Vanemad arvlevad otse toitlustajaga. Seetõttu lisatud siia teiste KOV-de keskmine kulu lapse kohta aastas, et tulemused oleks võrreldavad.</t>
      </text>
    </comment>
    <comment ref="AC44" authorId="29" shapeId="0" xr:uid="{0F4F1935-AC77-4194-ABD5-A49B56D202EB}">
      <text>
        <t>[Threaded comment]
Your version of Excel allows you to read this threaded comment; however, any edits to it will get removed if the file is opened in a newer version of Excel. Learn more: https://go.microsoft.com/fwlink/?linkid=870924
Comment:
    TA 09601 all koos koolitoiduga. Lasteaia toitlustustulu osa oli 72 028,60 eurot.</t>
      </text>
    </comment>
    <comment ref="AB53" authorId="30" shapeId="0" xr:uid="{EA28E4D2-5301-479A-884F-71E5C05BB0C1}">
      <text>
        <t>[Threaded comment]
Your version of Excel allows you to read this threaded comment; however, any edits to it will get removed if the file is opened in a newer version of Excel. Learn more: https://go.microsoft.com/fwlink/?linkid=870924
Comment:
    Lasteaia kohatasu on 0.</t>
      </text>
    </comment>
    <comment ref="R59" authorId="31" shapeId="0" xr:uid="{682EDE40-3DBB-4F4F-A870-AB1C4F47FE3E}">
      <text>
        <t>[Threaded comment]
Your version of Excel allows you to read this threaded comment; however, any edits to it will get removed if the file is opened in a newer version of Excel. Learn more: https://go.microsoft.com/fwlink/?linkid=870924
Comment:
    Rapla valla esitatud parandus.</t>
      </text>
    </comment>
    <comment ref="AB81" authorId="32" shapeId="0" xr:uid="{4932C571-EC73-493F-9532-C2C9899FD64B}">
      <text>
        <t>[Threaded comment]
Your version of Excel allows you to read this threaded comment; however, any edits to it will get removed if the file is opened in a newer version of Excel. Learn more: https://go.microsoft.com/fwlink/?linkid=870924
Comment:
    Kohatasu valel kontol</t>
      </text>
    </comment>
    <comment ref="BV86" authorId="33" shapeId="0" xr:uid="{2F9AC533-960C-4029-B00F-B21CF55F283B}">
      <text>
        <t>[Threaded comment]
Your version of Excel allows you to read this threaded comment; however, any edits to it will get removed if the file is opened in a newer version of Excel. Learn more: https://go.microsoft.com/fwlink/?linkid=870924
Comment:
    Mõjutatud väikesaarte tulemusest. Ilma väikesaarteta kukub korrelatsioon oluliselt ja r2=0,1. Ehk selgitab vaid ⅒ hinnaerinevustest.</t>
      </text>
    </comment>
    <comment ref="BX86" authorId="34" shapeId="0" xr:uid="{D4293658-678F-4A0C-8428-28561ECC217E}">
      <text>
        <t>[Threaded comment]
Your version of Excel allows you to read this threaded comment; however, any edits to it will get removed if the file is opened in a newer version of Excel. Learn more: https://go.microsoft.com/fwlink/?linkid=870924
Comment:
    Mõjutatud väikesaarte tulemusest. Ilma väikesaarteta kukub korrelatsioon oluliselt ja r2=0,1. Ehk selgitab vaid ⅒ hinnaerinevustest.</t>
      </text>
    </comment>
    <comment ref="CD86" authorId="35" shapeId="0" xr:uid="{6E8A2C69-E4EE-4F87-B5B5-31F6797323D4}">
      <text>
        <t>[Threaded comment]
Your version of Excel allows you to read this threaded comment; however, any edits to it will get removed if the file is opened in a newer version of Excel. Learn more: https://go.microsoft.com/fwlink/?linkid=870924
Comment:
    Mõjutatud väikesaarte tulemusest. Ilma väikesaarteta kukub korrelatsioon oluliselt ja r2=0,1. Ehk selgitab vaid ⅒ hinnaerinevustest.</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tc={B660C359-5BC1-4641-AF29-1CCC8D9B5130}</author>
    <author>tc={3F92D30B-65CB-44D5-96D5-8AFEB07C8934}</author>
    <author>tc={65B2BCA5-3FBF-4502-AB51-1AEA7A40074D}</author>
    <author>tc={32178707-D442-493E-94D2-EDC561391B19}</author>
    <author>tc={065DCC0B-9837-449D-80C6-D7348D6B8FF3}</author>
    <author>tc={804CA787-5A85-46A4-ABA8-85AE9F0FE569}</author>
    <author>tc={2AAF821C-1074-4567-B548-E5D75CEE0471}</author>
    <author>tc={F004001A-4A1B-4B8A-80A2-21CC2CF6D6AC}</author>
    <author>tc={2BD6D3D9-14C4-4AA0-9422-41950D5FA985}</author>
    <author>tc={BD8D6AB0-E12F-46C9-859D-51AD3AF35817}</author>
    <author>tc={572C15C3-9FEC-4F21-8465-154A3751C65A}</author>
    <author>tc={BE986E03-8FB0-4066-A270-8BCFF2D68819}</author>
    <author>tc={D6D81621-42C4-44A3-AFB2-5DCBF8E3E8F9}</author>
    <author>tc={57FBAD09-F4BD-448E-A03E-E5E408A5CCAF}</author>
    <author>tc={407F34D1-2C90-47B7-9452-917418AC3EF7}</author>
    <author>tc={45C4201C-CEA5-4849-A5FF-AA801CA32B4F}</author>
    <author>tc={CA397D88-17D4-487B-BD58-0B21433F91F5}</author>
    <author>tc={E1905866-83AB-48C8-AC37-6F71DE1E159B}</author>
    <author>tc={F6BB11C5-5250-4999-A825-07F73B177058}</author>
    <author>tc={17255379-FD77-4F48-A4D2-EEED3DDCD464}</author>
    <author>tc={686DD494-CF21-4989-BC62-8F4FA98ED414}</author>
    <author>tc={B25E0AE2-4378-4B2A-B1CC-D0F59A1C530C}</author>
    <author>tc={929E211B-BF1E-4E0A-8A8E-1973E5C45AEA}</author>
    <author>tc={779C70D8-48E9-4C75-BA8C-64B5496C8A72}</author>
    <author>tc={EFC79C3E-7F33-4A63-A7E8-272FDE12C803}</author>
    <author>tc={EE6E0A19-8685-4B8E-A0FF-D8587430031E}</author>
    <author>tc={6F049501-AC77-4602-BFB9-3FC2BBDFAB77}</author>
  </authors>
  <commentList>
    <comment ref="AQ1" authorId="0" shapeId="0" xr:uid="{B660C359-5BC1-4641-AF29-1CCC8D9B5130}">
      <text>
        <t>[Threaded comment]
Your version of Excel allows you to read this threaded comment; however, any edits to it will get removed if the file is opened in a newer version of Excel. Learn more: https://go.microsoft.com/fwlink/?linkid=870924
Comment:
    Maksude ja hüvitisteta (Bruto töötasu).</t>
      </text>
    </comment>
    <comment ref="BV1" authorId="1" shapeId="0" xr:uid="{3F92D30B-65CB-44D5-96D5-8AFEB07C8934}">
      <text>
        <t>[Threaded comment]
Your version of Excel allows you to read this threaded comment; however, any edits to it will get removed if the file is opened in a newer version of Excel. Learn more: https://go.microsoft.com/fwlink/?linkid=870924
Comment:
    Siin ei ole arvestatud teistelt KOV-delt saadud tuluga.</t>
      </text>
    </comment>
    <comment ref="G3" authorId="2" shapeId="0" xr:uid="{65B2BCA5-3FBF-4502-AB51-1AEA7A40074D}">
      <text>
        <t>[Threaded comment]
Your version of Excel allows you to read this threaded comment; however, any edits to it will get removed if the file is opened in a newer version of Excel. Learn more: https://go.microsoft.com/fwlink/?linkid=870924
Comment:
    552450 ja 552460</t>
      </text>
    </comment>
    <comment ref="J3" authorId="3" shapeId="0" xr:uid="{32178707-D442-493E-94D2-EDC561391B19}">
      <text>
        <t>[Threaded comment]
Your version of Excel allows you to read this threaded comment; however, any edits to it will get removed if the file is opened in a newer version of Excel. Learn more: https://go.microsoft.com/fwlink/?linkid=870924
Comment:
    Konto 50021, kooli 092 tegevusaladelt. Lisatud maksud x1,338.</t>
      </text>
    </comment>
    <comment ref="Q3" authorId="4" shapeId="0" xr:uid="{065DCC0B-9837-449D-80C6-D7348D6B8FF3}">
      <text>
        <t>[Threaded comment]
Your version of Excel allows you to read this threaded comment; however, any edits to it will get removed if the file is opened in a newer version of Excel. Learn more: https://go.microsoft.com/fwlink/?linkid=870924
Comment:
    552450 ja 552460</t>
      </text>
    </comment>
    <comment ref="T3" authorId="5" shapeId="0" xr:uid="{804CA787-5A85-46A4-ABA8-85AE9F0FE569}">
      <text>
        <t>[Threaded comment]
Your version of Excel allows you to read this threaded comment; however, any edits to it will get removed if the file is opened in a newer version of Excel. Learn more: https://go.microsoft.com/fwlink/?linkid=870924
Comment:
    Konto 50021, kooli 092 tegevusaladelt. Lisatud maksud x1,338.</t>
      </text>
    </comment>
    <comment ref="E4" authorId="6" shapeId="0" xr:uid="{2AAF821C-1074-4567-B548-E5D75CEE0471}">
      <text>
        <t>[Threaded comment]
Your version of Excel allows you to read this threaded comment; however, any edits to it will get removed if the file is opened in a newer version of Excel. Learn more: https://go.microsoft.com/fwlink/?linkid=870924
Comment:
    haridusameti antud toetused - "Rattaga kooli!" ja õppeaasta alguse toetus</t>
      </text>
    </comment>
    <comment ref="AY6" authorId="7" shapeId="0" xr:uid="{F004001A-4A1B-4B8A-80A2-21CC2CF6D6AC}">
      <text>
        <t>[Threaded comment]
Your version of Excel allows you to read this threaded comment; however, any edits to it will get removed if the file is opened in a newer version of Excel. Learn more: https://go.microsoft.com/fwlink/?linkid=870924
Comment:
    Lahutatud maha tööjõukulud ja õppevahendid 5524.</t>
      </text>
    </comment>
    <comment ref="A17" authorId="8" shapeId="0" xr:uid="{2BD6D3D9-14C4-4AA0-9422-41950D5FA985}">
      <text>
        <t>[Threaded comment]
Your version of Excel allows you to read this threaded comment; however, any edits to it will get removed if the file is opened in a newer version of Excel. Learn more: https://go.microsoft.com/fwlink/?linkid=870924
Comment:
    Laagri koolile antud toetus on jaotatud ära kulu sisu järgi valla antud proportsioone arvestades.
Laagri kool asub kahes majas – üks hoone on nende bilansis (amort tabelis) ja teine on SA Veskimöldre haridusmaja bilansis – siin rendib ruume (rendikulu tabelis), selle hoone amort ei sisaldu tabelis.
Laenumaksete tasumiseks antakse eraldi toetust ja seda praeguses tabelis ei sisaldu.</t>
      </text>
    </comment>
    <comment ref="E17" authorId="9" shapeId="0" xr:uid="{BD8D6AB0-E12F-46C9-859D-51AD3AF35817}">
      <text>
        <t>[Threaded comment]
Your version of Excel allows you to read this threaded comment; however, any edits to it will get removed if the file is opened in a newer version of Excel. Learn more: https://go.microsoft.com/fwlink/?linkid=870924
Comment:
    Peamiselt 152302 Laagri Haridus- ja Spordikeskus OÜ</t>
      </text>
    </comment>
    <comment ref="AY18" authorId="10" shapeId="0" xr:uid="{572C15C3-9FEC-4F21-8465-154A3751C65A}">
      <text>
        <t>[Threaded comment]
Your version of Excel allows you to read this threaded comment; however, any edits to it will get removed if the file is opened in a newer version of Excel. Learn more: https://go.microsoft.com/fwlink/?linkid=870924
Comment:
    Lahutatud töötasu ja 5525 õppevahendid ja koolitused</t>
      </text>
    </comment>
    <comment ref="E24" authorId="11" shapeId="0" xr:uid="{BE986E03-8FB0-4066-A270-8BCFF2D68819}">
      <text>
        <t>[Threaded comment]
Your version of Excel allows you to read this threaded comment; however, any edits to it will get removed if the file is opened in a newer version of Excel. Learn more: https://go.microsoft.com/fwlink/?linkid=870924
Comment:
    Toetus antud HTM-le.</t>
      </text>
    </comment>
    <comment ref="AY28" authorId="12" shapeId="0" xr:uid="{D6D81621-42C4-44A3-AFB2-5DCBF8E3E8F9}">
      <text>
        <t>[Threaded comment]
Your version of Excel allows you to read this threaded comment; however, any edits to it will get removed if the file is opened in a newer version of Excel. Learn more: https://go.microsoft.com/fwlink/?linkid=870924
Comment:
    Võetud üksnes kulud 09601 alt.</t>
      </text>
    </comment>
    <comment ref="AY31" authorId="13" shapeId="0" xr:uid="{57FBAD09-F4BD-448E-A03E-E5E408A5CCAF}">
      <text>
        <t>[Threaded comment]
Your version of Excel allows you to read this threaded comment; however, any edits to it will get removed if the file is opened in a newer version of Excel. Learn more: https://go.microsoft.com/fwlink/?linkid=870924
Comment:
    Võetud üksnes kulud 09601 alt.</t>
      </text>
    </comment>
    <comment ref="AW39" authorId="14" shapeId="0" xr:uid="{407F34D1-2C90-47B7-9452-917418AC3EF7}">
      <text>
        <t>[Threaded comment]
Your version of Excel allows you to read this threaded comment; however, any edits to it will get removed if the file is opened in a newer version of Excel. Learn more: https://go.microsoft.com/fwlink/?linkid=870924
Comment:
    Siin on arvutatud Vohnja lasteaias käivate koolilaste osakaal kogu valla lasteaialaste arvust, kuna osa kooli kulusid on hoopis lasteaia all. 
Vohnja lasteaias on koolilapsi 2023/2024 14 last; 2024/2025 13 last ja 2025/2026 16 last. Samas lasteaialapsi on 2023/2024 39 last; 2024/2025 25 last ja 2025/2026 23 last.</t>
      </text>
    </comment>
    <comment ref="AY39" authorId="15" shapeId="0" xr:uid="{45C4201C-CEA5-4849-A5FF-AA801CA32B4F}">
      <text>
        <t>[Threaded comment]
Your version of Excel allows you to read this threaded comment; however, any edits to it will get removed if the file is opened in a newer version of Excel. Learn more: https://go.microsoft.com/fwlink/?linkid=870924
Comment:
    Siin osa LAK kuludest nihutatud kooli kuludeks.</t>
      </text>
    </comment>
    <comment ref="AY42" authorId="16" shapeId="0" xr:uid="{CA397D88-17D4-487B-BD58-0B21433F91F5}">
      <text>
        <t>[Threaded comment]
Your version of Excel allows you to read this threaded comment; however, any edits to it will get removed if the file is opened in a newer version of Excel. Learn more: https://go.microsoft.com/fwlink/?linkid=870924
Comment:
    Lahutad kogukuludest personalikulud ja õppevahendid inventari majandamiskuluga ning liidetud juurde koolilõuna tegevusala kulud</t>
      </text>
    </comment>
    <comment ref="AY43" authorId="17" shapeId="0" xr:uid="{E1905866-83AB-48C8-AC37-6F71DE1E159B}">
      <text>
        <t>[Threaded comment]
Your version of Excel allows you to read this threaded comment; however, any edits to it will get removed if the file is opened in a newer version of Excel. Learn more: https://go.microsoft.com/fwlink/?linkid=870924
Comment:
    Siin arvestatud üksnes 5511 kinnistu majandamiskuluga.</t>
      </text>
    </comment>
    <comment ref="AY49" authorId="18" shapeId="0" xr:uid="{F6BB11C5-5250-4999-A825-07F73B177058}">
      <text>
        <t>[Threaded comment]
Your version of Excel allows you to read this threaded comment; however, any edits to it will get removed if the file is opened in a newer version of Excel. Learn more: https://go.microsoft.com/fwlink/?linkid=870924
Comment:
    Lahutatud tööjõukulu ja 5524 õppevahendid ja koolitus ning liidetud 09601 koolilõuna</t>
      </text>
    </comment>
    <comment ref="AW50" authorId="19" shapeId="0" xr:uid="{17255379-FD77-4F48-A4D2-EEED3DDCD464}">
      <text>
        <t>[Threaded comment]
Your version of Excel allows you to read this threaded comment; however, any edits to it will get removed if the file is opened in a newer version of Excel. Learn more: https://go.microsoft.com/fwlink/?linkid=870924
Comment:
    Siin on arvutatud LAK-is käivate koolilaste osakaal kogu valla lasteaialaste arvust, kuna osa kooli kulusid on lasteaia all. 
LAK-ides on koolilapsi 2023/2024 192 last; 2024/2025 197 last ja 2025/2026 215 last.</t>
      </text>
    </comment>
    <comment ref="AY50" authorId="20" shapeId="0" xr:uid="{686DD494-CF21-4989-BC62-8F4FA98ED414}">
      <text>
        <t>[Threaded comment]
Your version of Excel allows you to read this threaded comment; however, any edits to it will get removed if the file is opened in a newer version of Excel. Learn more: https://go.microsoft.com/fwlink/?linkid=870924
Comment:
    Siin osa LAK kuludest nihutatud kooli kuludeks. Sh lahutatud lasteaia õppevahendite kulu.</t>
      </text>
    </comment>
    <comment ref="U54" authorId="21" shapeId="0" xr:uid="{B25E0AE2-4378-4B2A-B1CC-D0F59A1C530C}">
      <text>
        <t>[Threaded comment]
Your version of Excel allows you to read this threaded comment; however, any edits to it will get removed if the file is opened in a newer version of Excel. Learn more: https://go.microsoft.com/fwlink/?linkid=870924
Comment:
    Sisaldab ühekordset hoone osa lammutamisest tingitud mahakandmise mõju summas 828 630 eurot.</t>
      </text>
    </comment>
    <comment ref="AY58" authorId="22" shapeId="0" xr:uid="{929E211B-BF1E-4E0A-8A8E-1973E5C45AEA}">
      <text>
        <t>[Threaded comment]
Your version of Excel allows you to read this threaded comment; however, any edits to it will get removed if the file is opened in a newer version of Excel. Learn more: https://go.microsoft.com/fwlink/?linkid=870924
Comment:
    Lahutatud tööjõukulud ja õppevahendite ja koolituste kontod 5524</t>
      </text>
    </comment>
    <comment ref="U59" authorId="23" shapeId="0" xr:uid="{779C70D8-48E9-4C75-BA8C-64B5496C8A72}">
      <text>
        <t>[Threaded comment]
Your version of Excel allows you to read this threaded comment; however, any edits to it will get removed if the file is opened in a newer version of Excel. Learn more: https://go.microsoft.com/fwlink/?linkid=870924
Comment:
    Rapla valla esitatud parandus.</t>
      </text>
    </comment>
    <comment ref="AY63" authorId="24" shapeId="0" xr:uid="{EFC79C3E-7F33-4A63-A7E8-272FDE12C803}">
      <text>
        <t>[Threaded comment]
Your version of Excel allows you to read this threaded comment; however, any edits to it will get removed if the file is opened in a newer version of Excel. Learn more: https://go.microsoft.com/fwlink/?linkid=870924
Comment:
    Lahutatud tööjõukulud ja 5524 õppevahendid ja koolitus</t>
      </text>
    </comment>
    <comment ref="Y83" authorId="25" shapeId="0" xr:uid="{EE6E0A19-8685-4B8E-A0FF-D8587430031E}">
      <text>
        <t>[Threaded comment]
Your version of Excel allows you to read this threaded comment; however, any edits to it will get removed if the file is opened in a newer version of Excel. Learn more: https://go.microsoft.com/fwlink/?linkid=870924
Comment:
    Sellest 20M on HTM-lt.</t>
      </text>
    </comment>
    <comment ref="AC83" authorId="26" shapeId="0" xr:uid="{6F049501-AC77-4602-BFB9-3FC2BBDFAB77}">
      <text>
        <t>[Threaded comment]
Your version of Excel allows you to read this threaded comment; however, any edits to it will get removed if the file is opened in a newer version of Excel. Learn more: https://go.microsoft.com/fwlink/?linkid=870924
Comment:
    Sellest 35 mln eurot on HTM-lt.</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<sst xmlns="http://schemas.openxmlformats.org/spreadsheetml/2006/main" count="802" uniqueCount="304">
  <si>
    <t>2024</t>
  </si>
  <si>
    <t>2025</t>
  </si>
  <si>
    <t>Kokku</t>
  </si>
  <si>
    <t>Üksus</t>
  </si>
  <si>
    <t>Maksu-, lõivu ja trahvikulud</t>
  </si>
  <si>
    <t>Muud põhitegevuse kulud</t>
  </si>
  <si>
    <t>Antud toetused jooksv kuludeks</t>
  </si>
  <si>
    <t>Majandamiskulud</t>
  </si>
  <si>
    <t>Tööjõukulud</t>
  </si>
  <si>
    <t>100101 Tallinna Linnavalitsus</t>
  </si>
  <si>
    <t>131101 Anija Vallavalitsus</t>
  </si>
  <si>
    <t>132101 Harku Vallavalitsus</t>
  </si>
  <si>
    <t>133101 Jõelähtme Vallavalitsus</t>
  </si>
  <si>
    <t>135101 Keila Linnavalitsus</t>
  </si>
  <si>
    <t>138101 Kiili Vallavalitsus</t>
  </si>
  <si>
    <t>139101 Kose Vallavalitsus</t>
  </si>
  <si>
    <t>140101 Kuusalu Vallavalitsus</t>
  </si>
  <si>
    <t>142101 Loksa Linnavalitsus</t>
  </si>
  <si>
    <t>144101 Maardu Linnavalitsus</t>
  </si>
  <si>
    <t>148101 Raasiku Vallavalitsus</t>
  </si>
  <si>
    <t>149101 Rae Vallavalitsus</t>
  </si>
  <si>
    <t>150101 Saku Vallavalitsus</t>
  </si>
  <si>
    <t>152101 Saue Vallavalitsus</t>
  </si>
  <si>
    <t>154101 Viimsi Vallavalitsus</t>
  </si>
  <si>
    <t>155101 Lääne-Harju Vallavalitsus</t>
  </si>
  <si>
    <t>166101 Hiiumaa Vallavalitsus</t>
  </si>
  <si>
    <t>175101 Jõhvi Vallavalitsus</t>
  </si>
  <si>
    <t>179101 Kohtla-Järve Linnavalitsus</t>
  </si>
  <si>
    <t>182101 Lüganuse Vallavalitsus</t>
  </si>
  <si>
    <t>185101 Narva Linnavalitsus</t>
  </si>
  <si>
    <t>186101 Narva-Jõesuu Linnavalitsus</t>
  </si>
  <si>
    <t>188101 Sillamäe Linnavalitsus</t>
  </si>
  <si>
    <t>190101 Toila Vallavalitsus</t>
  </si>
  <si>
    <t>193101 Alutaguse Vallavalitsus</t>
  </si>
  <si>
    <t>210101 Paide Linnavalitsus</t>
  </si>
  <si>
    <t>213101 Türi Vallavalitsus</t>
  </si>
  <si>
    <t>216101 Järva Vallavalitsus</t>
  </si>
  <si>
    <t>221101 Jõgeva Vallavalitsus</t>
  </si>
  <si>
    <t>229101 Põltsamaa Vallavalitsus</t>
  </si>
  <si>
    <t>233101 Mustvee Vallavalitsus</t>
  </si>
  <si>
    <t>240101 Haapsalu Linnavalitsus</t>
  </si>
  <si>
    <t>251101 Vormsi Vallavalitsus</t>
  </si>
  <si>
    <t>252101 Lääne-Nigula Vallavalitsus</t>
  </si>
  <si>
    <t>261101 Haljala Vallavalitsus</t>
  </si>
  <si>
    <t>262101 Kadrina Vallavalitsus</t>
  </si>
  <si>
    <t>266101 Rakvere Linnavalitsus</t>
  </si>
  <si>
    <t>267101 Rakvere Vallavalitsus</t>
  </si>
  <si>
    <t>273101 Tapa Vallavalitsus</t>
  </si>
  <si>
    <t>275101 Vinni Vallavalitsus</t>
  </si>
  <si>
    <t>276101 Viru-Nigula Vallavalitsus</t>
  </si>
  <si>
    <t>277101 Väike-Maarja Vallavalitsus</t>
  </si>
  <si>
    <t>303101 Häädemeeste Vallavalitsus</t>
  </si>
  <si>
    <t>305101 Kihnu Vallavalitsus</t>
  </si>
  <si>
    <t>306101 Saarde Vallavalitsus</t>
  </si>
  <si>
    <t>310101 Pärnu Linnavalitsus</t>
  </si>
  <si>
    <t>318101 Tori Vallavalitsus</t>
  </si>
  <si>
    <t>323101 Põhja-Pärnumaa Vallavalitsus</t>
  </si>
  <si>
    <t>324101 Lääneranna Vallavalitsus</t>
  </si>
  <si>
    <t>351101 Kanepi Vallavalitsus</t>
  </si>
  <si>
    <t>358101 Põlva Vallavalitsus</t>
  </si>
  <si>
    <t>359101 Räpina Vallavalitsus</t>
  </si>
  <si>
    <t>373101 Kehtna Vallavalitsus</t>
  </si>
  <si>
    <t>374101 Kohila Vallavalitsus</t>
  </si>
  <si>
    <t>376101 Märjamaa Vallavalitsus</t>
  </si>
  <si>
    <t>378101 Rapla Vallavalitsus</t>
  </si>
  <si>
    <t>407101 Muhu Vallavalitsus</t>
  </si>
  <si>
    <t>417101 Saaremaa Vallavalitsus</t>
  </si>
  <si>
    <t>434101 Kambja Vallavalitsus</t>
  </si>
  <si>
    <t>437101 Luunja Vallavalitsus</t>
  </si>
  <si>
    <t>440101 Nõo Vallavalitsus</t>
  </si>
  <si>
    <t>441101 Peipsiääre Vallavalitsus</t>
  </si>
  <si>
    <t>446101 Tartu Linnavalitsus</t>
  </si>
  <si>
    <t>447101 Tartu Vallavalitsus</t>
  </si>
  <si>
    <t>450101 Elva Vallavalitsus</t>
  </si>
  <si>
    <t>451101 Kastre Vallavalitsus</t>
  </si>
  <si>
    <t>529101 Mulgi Vallavalitsus</t>
  </si>
  <si>
    <t>546101 Viljandi Linnavalitsus</t>
  </si>
  <si>
    <t>548101 Viljandi Vallavalitsus</t>
  </si>
  <si>
    <t>549101 Põhja-Sakala Vallavalitsus</t>
  </si>
  <si>
    <t>553101 Otepää Vallavalitsus</t>
  </si>
  <si>
    <t>563101 Valga Vallavalitsus</t>
  </si>
  <si>
    <t>564101 Tõrva Vallavalitsus</t>
  </si>
  <si>
    <t>570101 Antsla Vallavalitsus</t>
  </si>
  <si>
    <t>576101 Rõuge Vallavalitsus</t>
  </si>
  <si>
    <t>581101 Võru Linnavalitsus</t>
  </si>
  <si>
    <t>582101 Võru Vallavalitsus</t>
  </si>
  <si>
    <t>583101 Setomaa Vallavalitsus</t>
  </si>
  <si>
    <t>Amortisatsioon</t>
  </si>
  <si>
    <t>412101 Ruhnu Vallavalitsus</t>
  </si>
  <si>
    <t>Võru vald</t>
  </si>
  <si>
    <t>Võru linn</t>
  </si>
  <si>
    <t>Väike-Maarja vald</t>
  </si>
  <si>
    <t>Vormsi vald</t>
  </si>
  <si>
    <t>Viru-Nigula vald</t>
  </si>
  <si>
    <t>Vinni vald</t>
  </si>
  <si>
    <t>Viljandi vald</t>
  </si>
  <si>
    <t>Viljandi linn</t>
  </si>
  <si>
    <t>Viimsi vald</t>
  </si>
  <si>
    <t>Valga vald</t>
  </si>
  <si>
    <t>Türi vald</t>
  </si>
  <si>
    <t>Tõrva vald</t>
  </si>
  <si>
    <t>Tori vald</t>
  </si>
  <si>
    <t>Toila vald</t>
  </si>
  <si>
    <t>Tartu vald</t>
  </si>
  <si>
    <t>Tartu linn</t>
  </si>
  <si>
    <t>Tapa vald</t>
  </si>
  <si>
    <t>Sillamäe linn</t>
  </si>
  <si>
    <t>Setomaa vald</t>
  </si>
  <si>
    <t>Saue vald</t>
  </si>
  <si>
    <t>Saku vald</t>
  </si>
  <si>
    <t>Saaremaa vald</t>
  </si>
  <si>
    <t>Saarde vald</t>
  </si>
  <si>
    <t>Rõuge vald</t>
  </si>
  <si>
    <t>Räpina vald</t>
  </si>
  <si>
    <t>Rapla vald</t>
  </si>
  <si>
    <t>Rakvere vald</t>
  </si>
  <si>
    <t>Rakvere linn</t>
  </si>
  <si>
    <t>Rae vald</t>
  </si>
  <si>
    <t>Raasiku vald</t>
  </si>
  <si>
    <t>Põlva vald</t>
  </si>
  <si>
    <t>Põltsamaa vald</t>
  </si>
  <si>
    <t>Põhja-Sakala vald</t>
  </si>
  <si>
    <t>Põhja-Pärnumaa vald</t>
  </si>
  <si>
    <t>Pärnu linn</t>
  </si>
  <si>
    <t>Peipsiääre vald</t>
  </si>
  <si>
    <t>Paide linn</t>
  </si>
  <si>
    <t>Otepää vald</t>
  </si>
  <si>
    <t>Nõo vald</t>
  </si>
  <si>
    <t>Narva-Jõesuu linn</t>
  </si>
  <si>
    <t>Narva linn</t>
  </si>
  <si>
    <t>Märjamaa vald</t>
  </si>
  <si>
    <t>Mustvee vald</t>
  </si>
  <si>
    <t>Mulgi vald</t>
  </si>
  <si>
    <t>Muhu vald</t>
  </si>
  <si>
    <t>Maardu linn</t>
  </si>
  <si>
    <t>Lüganuse vald</t>
  </si>
  <si>
    <t>Lääneranna vald</t>
  </si>
  <si>
    <t>Lääne-Nigula vald</t>
  </si>
  <si>
    <t>Lääne-Harju vald</t>
  </si>
  <si>
    <t>Luunja vald</t>
  </si>
  <si>
    <t>Loksa linn</t>
  </si>
  <si>
    <t>Kuusalu vald</t>
  </si>
  <si>
    <t>Kose vald</t>
  </si>
  <si>
    <t>Kohtla-Järve linn</t>
  </si>
  <si>
    <t>Kohila vald</t>
  </si>
  <si>
    <t>Kiili vald</t>
  </si>
  <si>
    <t>Kihnu vald</t>
  </si>
  <si>
    <t>Keila linn</t>
  </si>
  <si>
    <t>Kehtna vald</t>
  </si>
  <si>
    <t>Kastre vald</t>
  </si>
  <si>
    <t>Kanepi vald</t>
  </si>
  <si>
    <t>Kambja vald</t>
  </si>
  <si>
    <t>Kadrina vald</t>
  </si>
  <si>
    <t>Jõhvi vald</t>
  </si>
  <si>
    <t>Jõgeva vald</t>
  </si>
  <si>
    <t>Jõelähtme vald</t>
  </si>
  <si>
    <t>Järva vald</t>
  </si>
  <si>
    <t>Häädemeeste vald</t>
  </si>
  <si>
    <t>Hiiumaa vald</t>
  </si>
  <si>
    <t>Harku vald</t>
  </si>
  <si>
    <t>Haljala vald</t>
  </si>
  <si>
    <t>Haapsalu linn</t>
  </si>
  <si>
    <t>Elva vald</t>
  </si>
  <si>
    <t>Antsla vald</t>
  </si>
  <si>
    <t>Anija vald</t>
  </si>
  <si>
    <t>Alutaguse vald</t>
  </si>
  <si>
    <t>KOV</t>
  </si>
  <si>
    <t>Ruhnu vald</t>
  </si>
  <si>
    <t>Tallinna linn</t>
  </si>
  <si>
    <t>Omavalitsus</t>
  </si>
  <si>
    <t>KOKKU</t>
  </si>
  <si>
    <t>Lasteaia laste arv</t>
  </si>
  <si>
    <t>lasteaed</t>
  </si>
  <si>
    <t>LAK</t>
  </si>
  <si>
    <t>Põhitegevuse kulud + amortisatsioon</t>
  </si>
  <si>
    <t>Põhitegevuse tulu</t>
  </si>
  <si>
    <t>Toetusfond</t>
  </si>
  <si>
    <t>Tulud</t>
  </si>
  <si>
    <t>Põhitegevuse kulud (v.a antud toetused) + amortisatsioon</t>
  </si>
  <si>
    <t>sh ostetud lasteaiateenused</t>
  </si>
  <si>
    <t>Kokku, v.a ostetud teenused</t>
  </si>
  <si>
    <t>2025/2026</t>
  </si>
  <si>
    <t>Kogukulu lapse kohta kuus</t>
  </si>
  <si>
    <t>LAK laste osakaal</t>
  </si>
  <si>
    <t>sh tööjõukulud</t>
  </si>
  <si>
    <t>Lasteaia kogukulu katmine allikate lõikes</t>
  </si>
  <si>
    <t>Lapsevanemad</t>
  </si>
  <si>
    <t>Toetused jm</t>
  </si>
  <si>
    <t>sh lapsevanemad kohatasu</t>
  </si>
  <si>
    <t>sh lapsevanemad toitlustus</t>
  </si>
  <si>
    <t>sh lapsevanemad töövihikud jms</t>
  </si>
  <si>
    <t xml:space="preserve">Eristab kõik kulud </t>
  </si>
  <si>
    <t xml:space="preserve">Eristab pers kulud </t>
  </si>
  <si>
    <t>Eristab toiltlustamisekulud</t>
  </si>
  <si>
    <t>Eristab õppevahendid</t>
  </si>
  <si>
    <t>X</t>
  </si>
  <si>
    <t>ainult juhid on kooli TA all</t>
  </si>
  <si>
    <t>va toidukulu, mis on 09601 all kooliga koos</t>
  </si>
  <si>
    <t>ei</t>
  </si>
  <si>
    <t>ei erista vaid toidu tegemisega seotud kulusid</t>
  </si>
  <si>
    <t>ainult juhid on kooli TA all. Eraldi majades</t>
  </si>
  <si>
    <t>lisaks eristab inventari,  vormiriietuse. Muu on kooli TA all.</t>
  </si>
  <si>
    <t>LAK puhul (kui asuvad ühes hoones) me majandamiskulusid (küte, vesi, elekter) lasteaiale ei erista. Küll aga kajastame lasteaia all  admin kulud, koolituskulud, inventar, IT vahendid, toiduained, õppevahendid, mänguasjad ja ürituste kulu. Kui lasteaed on eraldi hoones, siis eristame ka kommunaalkulud</t>
  </si>
  <si>
    <t>kõik kulud on kooli all</t>
  </si>
  <si>
    <t>eraldi majades</t>
  </si>
  <si>
    <t>Lasteaia kulude sees on ka algkooli kulud. Algkoolil eraldi on töötasu ja õppevahendid (5524), muu on lasteaia tegevusala all</t>
  </si>
  <si>
    <t>Kuldre kooli LA Sipsik</t>
  </si>
  <si>
    <t>2024/2025</t>
  </si>
  <si>
    <t>Lasteaia tavarühma täitumus</t>
  </si>
  <si>
    <t>sh üür ja rent</t>
  </si>
  <si>
    <t>sh amort, üür ja rent</t>
  </si>
  <si>
    <t>sh majandamiskulu (v.a üür ja rent) jms</t>
  </si>
  <si>
    <t>Õppeaasta</t>
  </si>
  <si>
    <t>2023/2024</t>
  </si>
  <si>
    <t>Aasta keskmine</t>
  </si>
  <si>
    <t>Koolilaste arv</t>
  </si>
  <si>
    <t>LAK laste arv</t>
  </si>
  <si>
    <t>Lasteaialaste osakaal</t>
  </si>
  <si>
    <t>LAK lisakulu</t>
  </si>
  <si>
    <t>Kommentaar</t>
  </si>
  <si>
    <t>maj kulu kõik lasteaia TA ala all, kuna seal on rohkem lapsi</t>
  </si>
  <si>
    <t>sh juhtide tööjõukulud</t>
  </si>
  <si>
    <t>Kokku, v.a toetused</t>
  </si>
  <si>
    <t>sh koolitusteenused</t>
  </si>
  <si>
    <t>Kokku, v.a toetused ja teenused</t>
  </si>
  <si>
    <t>Koolikoha kogukulu (lapse kohta kuus)</t>
  </si>
  <si>
    <t>LAK koolide all olevad kulud</t>
  </si>
  <si>
    <t>KOV grupp</t>
  </si>
  <si>
    <t>Tagamaalisus</t>
  </si>
  <si>
    <t>Tulukus</t>
  </si>
  <si>
    <t>Elanike arv</t>
  </si>
  <si>
    <t>Elanike arv 2025</t>
  </si>
  <si>
    <t>Tulukas</t>
  </si>
  <si>
    <t>Keskmiselt tulukas</t>
  </si>
  <si>
    <t>Toimetulev</t>
  </si>
  <si>
    <t>Keskuslik</t>
  </si>
  <si>
    <t>Tagamaaline</t>
  </si>
  <si>
    <t>Keskus-tagamaaline</t>
  </si>
  <si>
    <t>8000-15999 el</t>
  </si>
  <si>
    <t>&gt;16 000 el</t>
  </si>
  <si>
    <t>4000-7999 el</t>
  </si>
  <si>
    <t>&lt;4000 el</t>
  </si>
  <si>
    <t>korrelatsioon kohamaksumusega:</t>
  </si>
  <si>
    <t>Põhitegevuse tulud</t>
  </si>
  <si>
    <t>muu</t>
  </si>
  <si>
    <t>kov arvlemine</t>
  </si>
  <si>
    <t>väike vs suur</t>
  </si>
  <si>
    <t>tagamaaline vs keskus</t>
  </si>
  <si>
    <t>toimetulev vs tulukas</t>
  </si>
  <si>
    <t>KOV raamatupidamislik arvestus LAK-de puhul</t>
  </si>
  <si>
    <t>LA TAl palgakulu, toiduained ja õppevahendid ning kohatasu ja toidu tulud</t>
  </si>
  <si>
    <t>eristab töötasu, koolitused, õppevahendid ja toitlustus.</t>
  </si>
  <si>
    <t>eristab töötasu, mänguasjad jm mida saab mõõta. toit koos kooliga TA 09601</t>
  </si>
  <si>
    <t>LA all personalikulu, koolituskulu personalile, korrashoiuteenust – pesu pesemine, IT vahendid, Inventari ja õppevahendeid</t>
  </si>
  <si>
    <t xml:space="preserve">Eristab palgakulu, õppevahendid, mänguasjad, </t>
  </si>
  <si>
    <t>Kogukulust kaetud toetuse jms</t>
  </si>
  <si>
    <t>Toetused ja teenused</t>
  </si>
  <si>
    <t>Teised KOV-id</t>
  </si>
  <si>
    <t>korrelatsioon kov osalusega:</t>
  </si>
  <si>
    <t>Koolikoha kogukulu katmine allikate lõikes</t>
  </si>
  <si>
    <t>korrelatsioon toetused ja teenused:</t>
  </si>
  <si>
    <t>keskmine kulu per laps aastas</t>
  </si>
  <si>
    <t>toetusfond (v.a koolilõuna)</t>
  </si>
  <si>
    <t>R2</t>
  </si>
  <si>
    <t>Lasteaia rühmade arv</t>
  </si>
  <si>
    <t>2023/2025</t>
  </si>
  <si>
    <t>Lasteaiaõpetaja keskmine töötasu</t>
  </si>
  <si>
    <t>korrelatsioon kogukuluga lapse kohta</t>
  </si>
  <si>
    <t>korrelatsioon tööjõukuludega lapse kohta</t>
  </si>
  <si>
    <t>korrelatsioon majandamiskuludega lapse kohta</t>
  </si>
  <si>
    <t>&gt;750 eurot</t>
  </si>
  <si>
    <t>650-749</t>
  </si>
  <si>
    <t>&lt;550</t>
  </si>
  <si>
    <t>550-649</t>
  </si>
  <si>
    <t>Kooli klasside arv</t>
  </si>
  <si>
    <t>Klassi keskmine täitumus</t>
  </si>
  <si>
    <t>Kohamaksumuse suurus</t>
  </si>
  <si>
    <t>Lasteaia rühma täitumus</t>
  </si>
  <si>
    <t>&lt;450</t>
  </si>
  <si>
    <t>450-549</t>
  </si>
  <si>
    <t>&gt;650 eurot</t>
  </si>
  <si>
    <t>kõrge vs madal</t>
  </si>
  <si>
    <t>Tööjõukulude osakaal</t>
  </si>
  <si>
    <t>Tulukus grupp</t>
  </si>
  <si>
    <t>Tulukusmäär</t>
  </si>
  <si>
    <t>sh KOV arvlemine</t>
  </si>
  <si>
    <t>Erigrupp</t>
  </si>
  <si>
    <t>Tallinn, Tartu, Pärnu</t>
  </si>
  <si>
    <t>Väikesaar</t>
  </si>
  <si>
    <t>Keskmine kaugus 1-6 klass m</t>
  </si>
  <si>
    <t>Keskmine kaugus 7-9 klass m</t>
  </si>
  <si>
    <t>Keskmine kaugus m</t>
  </si>
  <si>
    <t>Õpetajate arv</t>
  </si>
  <si>
    <t>Õpetaja keskmine kuine töötasu</t>
  </si>
  <si>
    <t>Õpetaja töötasu</t>
  </si>
  <si>
    <t>Õpilasi õpetaja kohta</t>
  </si>
  <si>
    <t>min</t>
  </si>
  <si>
    <t>max</t>
  </si>
  <si>
    <t>Lasteaiakoht vs koolikoht</t>
  </si>
  <si>
    <t>Lastevanemate osalus</t>
  </si>
  <si>
    <t>Lasteaia õpetaja keskmine töötasu</t>
  </si>
  <si>
    <t>KOV tulukusmäär</t>
  </si>
  <si>
    <t>Lasteaia rühma täitumus 2025</t>
  </si>
  <si>
    <t>Korrelatsiooni arvutamiseks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</si>
</sst>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3" x14ac:knownFonts="1">
    <font>
      <sz val="11"/>
      <color theme="1"/>
      <name val="Calibri"/>
      <family val="2"/>
      <scheme val="minor"/>
    </font>
    <font>
      <sz val="11"/>
      <color theme="1"/>
      <name val="Calibri"/>
      <family val="2"/>
      <charset val="186"/>
      <scheme val="minor"/>
    </font>
    <font>
      <sz val="11"/>
      <color theme="1"/>
      <name val="Calibri"/>
      <family val="2"/>
      <scheme val="minor"/>
    </font>
    <font>
      <sz val="11"/>
      <color rgb="FF000000"/>
      <name val="Calibri"/>
      <family val="2"/>
      <scheme val="minor"/>
    </font>
    <font>
      <b/>
      <sz val="11"/>
      <color theme="1"/>
      <name val="Calibri"/>
      <family val="2"/>
      <scheme val="minor"/>
    </font>
    <font>
      <sz val="11"/>
      <color rgb="FFFF0000"/>
      <name val="Calibri"/>
      <family val="2"/>
      <scheme val="minor"/>
    </font>
    <font>
      <b/>
      <sz val="11"/>
      <color rgb="FF363636"/>
      <name val="Calibri"/>
      <family val="2"/>
      <scheme val="minor"/>
    </font>
    <font>
      <b/>
      <i/>
      <sz val="11"/>
      <color rgb="FF363636"/>
      <name val="Calibri"/>
      <family val="2"/>
      <scheme val="minor"/>
    </font>
    <font>
      <sz val="11"/>
      <color rgb="FF363636"/>
      <name val="Calibri"/>
      <family val="2"/>
      <scheme val="minor"/>
    </font>
    <font>
      <b/>
      <i/>
      <sz val="11"/>
      <color theme="1"/>
      <name val="Calibri"/>
      <family val="2"/>
      <scheme val="minor"/>
    </font>
    <font>
      <b/>
      <sz val="11"/>
      <color rgb="FFFF0000"/>
      <name val="Calibri"/>
      <family val="2"/>
      <scheme val="minor"/>
    </font>
    <font>
      <sz val="11"/>
      <name val="Calibri"/>
      <family val="2"/>
      <scheme val="minor"/>
    </font>
    <font>
      <i/>
      <sz val="11"/>
      <color rgb="FF363636"/>
      <name val="Calibri"/>
      <family val="2"/>
      <scheme val="minor"/>
    </font>
  </fonts>
  <fills count="9">
    <fill>
      <patternFill patternType="none"/>
    </fill>
    <fill>
      <patternFill patternType="gray125"/>
    </fill>
    <fill>
      <patternFill patternType="solid">
        <fgColor rgb="FFC0C0C0"/>
        <bgColor indexed="64"/>
      </patternFill>
    </fill>
    <fill>
      <patternFill patternType="solid">
        <fgColor rgb="FFF5F5F5"/>
        <bgColor indexed="64"/>
      </patternFill>
    </fill>
    <fill>
      <patternFill patternType="solid">
        <fgColor rgb="FFFFFFFF"/>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s>
  <borders count="12">
    <border>
      <left/>
      <right/>
      <top/>
      <bottom/>
      <diagonal/>
    </border>
    <border>
      <left style="thin">
        <color rgb="FFDCDCDC"/>
      </left>
      <right style="medium">
        <color rgb="FFDCDCDC"/>
      </right>
      <top style="thin">
        <color rgb="FFDCDCDC"/>
      </top>
      <bottom style="medium">
        <color rgb="FFDCDCDC"/>
      </bottom>
      <diagonal/>
    </border>
    <border>
      <left style="thin">
        <color rgb="FFDCDCDC"/>
      </left>
      <right style="thin">
        <color rgb="FFDCDCDC"/>
      </right>
      <top style="thin">
        <color rgb="FFDCDCDC"/>
      </top>
      <bottom style="thin">
        <color rgb="FFDCDCDC"/>
      </bottom>
      <diagonal/>
    </border>
    <border>
      <left style="thin">
        <color rgb="FFDCDCDC"/>
      </left>
      <right style="thin">
        <color rgb="FFDCDCDC"/>
      </right>
      <top style="medium">
        <color rgb="FFDCDCDC"/>
      </top>
      <bottom style="thin">
        <color rgb="FFDCDCDC"/>
      </bottom>
      <diagonal/>
    </border>
    <border>
      <left style="thin">
        <color rgb="FFDCDCDC"/>
      </left>
      <right style="thin">
        <color rgb="FFDCDCDC"/>
      </right>
      <top/>
      <bottom style="thin">
        <color rgb="FFDCDCDC"/>
      </bottom>
      <diagonal/>
    </border>
    <border>
      <left style="thin">
        <color rgb="FFDCDCDC"/>
      </left>
      <right/>
      <top style="thin">
        <color rgb="FFDCDCDC"/>
      </top>
      <bottom style="thin">
        <color rgb="FFDCDCDC"/>
      </bottom>
      <diagonal/>
    </border>
    <border>
      <left/>
      <right style="thin">
        <color rgb="FFDCDCDC"/>
      </right>
      <top style="thin">
        <color rgb="FFDCDCDC"/>
      </top>
      <bottom style="thin">
        <color rgb="FFDCDCDC"/>
      </bottom>
      <diagonal/>
    </border>
    <border>
      <left style="medium">
        <color rgb="FFDCDCDC"/>
      </left>
      <right/>
      <top style="thin">
        <color rgb="FFDCDCDC"/>
      </top>
      <bottom style="thin">
        <color rgb="FFDCDCDC"/>
      </bottom>
      <diagonal/>
    </border>
    <border>
      <left/>
      <right/>
      <top style="thin">
        <color rgb="FFDCDCDC"/>
      </top>
      <bottom style="thin">
        <color rgb="FFDCDCDC"/>
      </bottom>
      <diagonal/>
    </border>
    <border>
      <left style="thin">
        <color rgb="FFDCDCDC"/>
      </left>
      <right/>
      <top/>
      <bottom/>
      <diagonal/>
    </border>
    <border>
      <left/>
      <right/>
      <top/>
      <bottom style="thin">
        <color rgb="FFDCDCDC"/>
      </bottom>
      <diagonal/>
    </border>
    <border>
      <left style="thin">
        <color rgb="FFDCDCDC"/>
      </left>
      <right style="thin">
        <color rgb="FFDCDCDC"/>
      </right>
      <top/>
      <bottom/>
      <diagonal/>
    </border>
  </borders>
  <cellStyleXfs count="4">
    <xf numFmtId="0" fontId="0" fillId="0" borderId="0"/>
    <xf numFmtId="9" fontId="2" fillId="0" borderId="0" applyFont="0" applyFill="0" applyBorder="0" applyAlignment="0" applyProtection="0"/>
    <xf numFmtId="0" fontId="3" fillId="0" borderId="0"/>
    <xf numFmtId="0" fontId="1" fillId="0" borderId="0"/>
  </cellStyleXfs>
  <cellXfs count="92">
    <xf numFmtId="0" fontId="0" fillId="0" borderId="0" xfId="0"/>
    <xf numFmtId="0" fontId="4" fillId="0" borderId="0" xfId="0" applyFont="1"/>
    <xf numFmtId="3" fontId="0" fillId="0" borderId="0" xfId="0" applyNumberFormat="1"/>
    <xf numFmtId="3" fontId="5" fillId="0" borderId="0" xfId="0" applyNumberFormat="1" applyFont="1"/>
    <xf numFmtId="0" fontId="4" fillId="2" borderId="1"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4" borderId="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8" fillId="4" borderId="5" xfId="0" applyFont="1" applyFill="1" applyBorder="1" applyAlignment="1">
      <alignment horizontal="left" vertical="center"/>
    </xf>
    <xf numFmtId="3" fontId="8" fillId="4" borderId="2" xfId="0" applyNumberFormat="1" applyFont="1" applyFill="1" applyBorder="1" applyAlignment="1">
      <alignment horizontal="right" vertical="center"/>
    </xf>
    <xf numFmtId="3" fontId="4" fillId="3" borderId="2" xfId="0" applyNumberFormat="1" applyFont="1" applyFill="1" applyBorder="1" applyAlignment="1">
      <alignment horizontal="right" vertical="center"/>
    </xf>
    <xf numFmtId="0" fontId="8" fillId="4" borderId="2" xfId="0" applyFont="1" applyFill="1" applyBorder="1" applyAlignment="1">
      <alignment horizontal="left" vertical="center"/>
    </xf>
    <xf numFmtId="3" fontId="8" fillId="5" borderId="2" xfId="0" applyNumberFormat="1" applyFont="1" applyFill="1" applyBorder="1" applyAlignment="1">
      <alignment horizontal="right" vertical="center"/>
    </xf>
    <xf numFmtId="0" fontId="4" fillId="3" borderId="5" xfId="0" applyFont="1" applyFill="1" applyBorder="1" applyAlignment="1">
      <alignment horizontal="left" vertical="center"/>
    </xf>
    <xf numFmtId="0" fontId="4" fillId="0" borderId="0" xfId="0" applyFont="1" applyAlignment="1">
      <alignment horizontal="center" wrapText="1"/>
    </xf>
    <xf numFmtId="3" fontId="4" fillId="0" borderId="0" xfId="0" applyNumberFormat="1" applyFont="1"/>
    <xf numFmtId="9" fontId="0" fillId="0" borderId="0" xfId="1" applyFont="1"/>
    <xf numFmtId="9" fontId="4" fillId="0" borderId="0" xfId="1" applyFont="1"/>
    <xf numFmtId="1" fontId="0" fillId="0" borderId="0" xfId="0" applyNumberFormat="1"/>
    <xf numFmtId="1" fontId="4" fillId="0" borderId="0" xfId="0" applyNumberFormat="1" applyFont="1"/>
    <xf numFmtId="0" fontId="9" fillId="0" borderId="0" xfId="0" applyFont="1" applyAlignment="1">
      <alignment horizontal="center" wrapText="1"/>
    </xf>
    <xf numFmtId="0" fontId="4" fillId="0" borderId="2" xfId="0" applyFont="1" applyBorder="1" applyAlignment="1">
      <alignment horizontal="center"/>
    </xf>
    <xf numFmtId="0" fontId="10" fillId="0" borderId="0" xfId="0" applyFont="1"/>
    <xf numFmtId="0" fontId="4" fillId="0" borderId="0" xfId="3" applyFont="1" applyAlignment="1">
      <alignment horizontal="center"/>
    </xf>
    <xf numFmtId="0" fontId="6" fillId="4" borderId="11" xfId="0" applyFont="1" applyFill="1" applyBorder="1" applyAlignment="1">
      <alignment horizontal="center" vertical="center" wrapText="1"/>
    </xf>
    <xf numFmtId="164" fontId="0" fillId="0" borderId="0" xfId="0" applyNumberFormat="1"/>
    <xf numFmtId="0" fontId="0" fillId="0" borderId="0" xfId="0" applyAlignment="1">
      <alignment horizontal="right"/>
    </xf>
    <xf numFmtId="2" fontId="0" fillId="0" borderId="0" xfId="0" applyNumberFormat="1"/>
    <xf numFmtId="2" fontId="0" fillId="6" borderId="0" xfId="0" applyNumberFormat="1" applyFill="1"/>
    <xf numFmtId="164" fontId="4" fillId="0" borderId="0" xfId="0" applyNumberFormat="1" applyFont="1"/>
    <xf numFmtId="0" fontId="4" fillId="0" borderId="0" xfId="0" applyFont="1" applyAlignment="1">
      <alignment horizontal="center"/>
    </xf>
    <xf numFmtId="3" fontId="8" fillId="4" borderId="0" xfId="0" applyNumberFormat="1" applyFont="1" applyFill="1" applyAlignment="1">
      <alignment horizontal="right" vertical="center"/>
    </xf>
    <xf numFmtId="3" fontId="0" fillId="0" borderId="0" xfId="1" applyNumberFormat="1" applyFont="1"/>
    <xf numFmtId="0" fontId="4" fillId="0" borderId="0" xfId="0" applyFont="1" applyAlignment="1">
      <alignment wrapText="1"/>
    </xf>
    <xf numFmtId="9" fontId="0" fillId="5" borderId="0" xfId="1" applyFont="1" applyFill="1"/>
    <xf numFmtId="3" fontId="11" fillId="8" borderId="0" xfId="0" applyNumberFormat="1" applyFont="1" applyFill="1"/>
    <xf numFmtId="3" fontId="8" fillId="0" borderId="2" xfId="0" applyNumberFormat="1" applyFont="1" applyBorder="1" applyAlignment="1">
      <alignment horizontal="right" vertical="center"/>
    </xf>
    <xf numFmtId="0" fontId="4" fillId="0" borderId="2" xfId="0" applyFont="1" applyBorder="1" applyAlignment="1">
      <alignment horizontal="center" wrapText="1"/>
    </xf>
    <xf numFmtId="3" fontId="0" fillId="8" borderId="0" xfId="0" applyNumberFormat="1" applyFill="1"/>
    <xf numFmtId="0" fontId="0" fillId="0" borderId="0" xfId="3" applyFont="1" applyAlignment="1">
      <alignment horizontal="center"/>
    </xf>
    <xf numFmtId="0" fontId="0" fillId="0" borderId="0" xfId="3" applyFont="1" applyAlignment="1">
      <alignment horizontal="left"/>
    </xf>
    <xf numFmtId="0" fontId="0" fillId="0" borderId="0" xfId="3" applyFont="1"/>
    <xf numFmtId="4" fontId="0" fillId="0" borderId="0" xfId="0" applyNumberFormat="1"/>
    <xf numFmtId="0" fontId="8" fillId="4" borderId="2" xfId="0" applyFont="1" applyFill="1" applyBorder="1" applyAlignment="1">
      <alignment horizontal="left" vertical="center" wrapText="1"/>
    </xf>
    <xf numFmtId="0" fontId="12" fillId="4" borderId="2"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8" fillId="4" borderId="4" xfId="0" applyFont="1" applyFill="1" applyBorder="1" applyAlignment="1">
      <alignment horizontal="left" vertical="center" wrapText="1"/>
    </xf>
    <xf numFmtId="0" fontId="4" fillId="3" borderId="4" xfId="0" applyFont="1" applyFill="1" applyBorder="1" applyAlignment="1">
      <alignment horizontal="left" vertical="center" wrapText="1"/>
    </xf>
    <xf numFmtId="0" fontId="8" fillId="4" borderId="2" xfId="0" applyFont="1" applyFill="1" applyBorder="1" applyAlignment="1">
      <alignment horizontal="center" vertical="center" wrapText="1"/>
    </xf>
    <xf numFmtId="3" fontId="4" fillId="3" borderId="0" xfId="0" applyNumberFormat="1" applyFont="1" applyFill="1" applyAlignment="1">
      <alignment horizontal="right" vertical="center"/>
    </xf>
    <xf numFmtId="0" fontId="0" fillId="4" borderId="0" xfId="0" applyFill="1" applyAlignment="1">
      <alignment horizontal="left" vertical="top"/>
    </xf>
    <xf numFmtId="0" fontId="4" fillId="0" borderId="8" xfId="0" applyFont="1" applyBorder="1" applyAlignment="1">
      <alignment horizontal="center" wrapText="1"/>
    </xf>
    <xf numFmtId="165" fontId="0" fillId="0" borderId="0" xfId="0" applyNumberFormat="1"/>
    <xf numFmtId="0" fontId="6" fillId="4" borderId="9" xfId="0" applyFont="1" applyFill="1" applyBorder="1" applyAlignment="1">
      <alignment horizontal="center" vertical="center" wrapText="1"/>
    </xf>
    <xf numFmtId="9" fontId="0" fillId="0" borderId="0" xfId="0" applyNumberFormat="1"/>
    <xf numFmtId="0" fontId="4" fillId="0" borderId="0" xfId="0" applyFont="1"/>
    <xf numFmtId="0" fontId="6" fillId="4" borderId="2" xfId="0" applyFont="1"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xf numFmtId="0" fontId="6" fillId="4" borderId="7"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wrapText="1"/>
    </xf>
    <xf numFmtId="0" fontId="6" fillId="4" borderId="5" xfId="0" applyFont="1" applyFill="1" applyBorder="1" applyAlignment="1">
      <alignment horizontal="center" vertical="center" wrapText="1"/>
    </xf>
    <xf numFmtId="0" fontId="4" fillId="0" borderId="10" xfId="0" applyFont="1" applyBorder="1" applyAlignment="1">
      <alignment horizontal="center"/>
    </xf>
    <xf numFmtId="0" fontId="4" fillId="0" borderId="9" xfId="0" applyFont="1" applyBorder="1" applyAlignment="1">
      <alignment horizontal="center"/>
    </xf>
    <xf numFmtId="0" fontId="4" fillId="0" borderId="0" xfId="0" applyFont="1" applyAlignment="1">
      <alignment horizontal="center"/>
    </xf>
    <xf numFmtId="0" fontId="0" fillId="0" borderId="8" xfId="0" applyBorder="1" applyAlignment="1">
      <alignment horizontal="center" vertical="center" wrapText="1"/>
    </xf>
    <xf numFmtId="0" fontId="0" fillId="0" borderId="8" xfId="0" applyBorder="1"/>
    <xf numFmtId="0" fontId="0" fillId="0" borderId="6" xfId="0" applyBorder="1"/>
    <xf numFmtId="0" fontId="4" fillId="0" borderId="5" xfId="0" applyFont="1" applyBorder="1" applyAlignment="1">
      <alignment horizontal="center"/>
    </xf>
    <xf numFmtId="0" fontId="0" fillId="0" borderId="6" xfId="0" applyBorder="1" applyAlignment="1">
      <alignment horizontal="center"/>
    </xf>
    <xf numFmtId="0" fontId="0" fillId="0" borderId="0" xfId="0" applyAlignment="1">
      <alignment horizontal="center"/>
    </xf>
    <xf numFmtId="0" fontId="4" fillId="0" borderId="9" xfId="0" applyFont="1" applyBorder="1" applyAlignment="1">
      <alignment horizontal="center" wrapText="1"/>
    </xf>
    <xf numFmtId="0" fontId="4" fillId="0" borderId="0" xfId="0" applyFont="1" applyAlignment="1">
      <alignment horizontal="center" wrapText="1"/>
    </xf>
    <xf numFmtId="0" fontId="4" fillId="0" borderId="2" xfId="0" applyFont="1" applyBorder="1" applyAlignment="1">
      <alignment horizontal="center" wrapText="1"/>
    </xf>
    <xf numFmtId="0" fontId="0" fillId="0" borderId="2" xfId="0" applyBorder="1" applyAlignment="1">
      <alignment horizontal="center" wrapText="1"/>
    </xf>
    <xf numFmtId="0" fontId="0" fillId="0" borderId="2" xfId="0" applyBorder="1" applyAlignment="1">
      <alignment wrapText="1"/>
    </xf>
    <xf numFmtId="0" fontId="4" fillId="0" borderId="2" xfId="0" applyFont="1" applyBorder="1" applyAlignment="1">
      <alignment horizontal="center"/>
    </xf>
    <xf numFmtId="0" fontId="4" fillId="0" borderId="8" xfId="0" applyFont="1" applyBorder="1" applyAlignment="1">
      <alignment horizontal="center"/>
    </xf>
    <xf numFmtId="0" fontId="4" fillId="0" borderId="6" xfId="0" applyFont="1" applyBorder="1" applyAlignment="1">
      <alignment horizontal="center"/>
    </xf>
    <xf numFmtId="0" fontId="0" fillId="0" borderId="6" xfId="0" applyBorder="1" applyAlignment="1">
      <alignment horizontal="center" vertical="center" wrapText="1"/>
    </xf>
    <xf numFmtId="0" fontId="0" fillId="0" borderId="8" xfId="0" applyBorder="1" applyAlignment="1">
      <alignment horizontal="center"/>
    </xf>
    <xf numFmtId="0" fontId="0" fillId="0" borderId="0" xfId="0"/>
    <xf numFmtId="0" fontId="0" fillId="7" borderId="0" xfId="0" applyFill="1" applyAlignment="1">
      <alignment wrapText="1"/>
    </xf>
    <xf numFmtId="0" fontId="8" fillId="4" borderId="7"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wrapText="1"/>
    </xf>
    <xf numFmtId="0" fontId="0" fillId="0" borderId="9" xfId="0" applyBorder="1" applyAlignment="1">
      <alignment horizontal="center"/>
    </xf>
    <xf numFmtId="0" fontId="4" fillId="7" borderId="0" xfId="0" applyFont="1" applyFill="1" applyAlignment="1">
      <alignment horizontal="center"/>
    </xf>
  </cellXfs>
  <cellStyles count="4">
    <cellStyle name="Normal" xfId="0" builtinId="0"/>
    <cellStyle name="Normal 2" xfId="2" xr:uid="{F69FA750-5DBC-4381-AE09-A364D47CB3F6}"/>
    <cellStyle name="Normal 3" xfId="3" xr:uid="{EFECF080-7279-41C4-879C-172D804B6B3E}"/>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1.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2.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3.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4.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5.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6.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7.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Ex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Ex2.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t-EE"/>
              <a:t>Lasteaiakoha maksumus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t-EE"/>
        </a:p>
      </c:txPr>
    </c:title>
    <c:autoTitleDeleted val="0"/>
    <c:plotArea>
      <c:layout/>
      <c:scatterChart>
        <c:scatterStyle val="lineMarker"/>
        <c:varyColors val="0"/>
        <c:ser>
          <c:idx val="0"/>
          <c:order val="0"/>
          <c:spPr>
            <a:ln w="28575" cap="rnd">
              <a:noFill/>
              <a:round/>
            </a:ln>
            <a:effectLst/>
          </c:spPr>
          <c:marker>
            <c:symbol val="circle"/>
            <c:size val="5"/>
            <c:spPr>
              <a:solidFill>
                <a:schemeClr val="accent1"/>
              </a:solidFill>
              <a:ln w="9525">
                <a:solidFill>
                  <a:schemeClr val="accent1"/>
                </a:solidFill>
              </a:ln>
              <a:effectLst/>
            </c:spPr>
          </c:marker>
          <c:dLbls>
            <c:dLbl>
              <c:idx val="0"/>
              <c:tx>
                <c:rich>
                  <a:bodyPr/>
                  <a:lstStyle/>
                  <a:p>
                    <a:fld id="{278D3CC4-E8C0-44D3-82FC-08D7C15198C5}"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CF97-4F0B-9C23-30B7ECE2B65B}"/>
                </c:ext>
              </c:extLst>
            </c:dLbl>
            <c:dLbl>
              <c:idx val="1"/>
              <c:tx>
                <c:rich>
                  <a:bodyPr/>
                  <a:lstStyle/>
                  <a:p>
                    <a:fld id="{05D3E907-F02B-432D-B95F-701AD63C218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CF97-4F0B-9C23-30B7ECE2B65B}"/>
                </c:ext>
              </c:extLst>
            </c:dLbl>
            <c:dLbl>
              <c:idx val="2"/>
              <c:tx>
                <c:rich>
                  <a:bodyPr/>
                  <a:lstStyle/>
                  <a:p>
                    <a:fld id="{4B01AA09-3DAB-4EB3-B0C1-3E634AF3314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CF97-4F0B-9C23-30B7ECE2B65B}"/>
                </c:ext>
              </c:extLst>
            </c:dLbl>
            <c:dLbl>
              <c:idx val="3"/>
              <c:tx>
                <c:rich>
                  <a:bodyPr/>
                  <a:lstStyle/>
                  <a:p>
                    <a:fld id="{85CBE1A2-3573-4CBF-AAA5-34622B5597A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CF97-4F0B-9C23-30B7ECE2B65B}"/>
                </c:ext>
              </c:extLst>
            </c:dLbl>
            <c:dLbl>
              <c:idx val="4"/>
              <c:tx>
                <c:rich>
                  <a:bodyPr/>
                  <a:lstStyle/>
                  <a:p>
                    <a:fld id="{22CBC4FD-AF77-4AA3-8197-96932744F80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CF97-4F0B-9C23-30B7ECE2B65B}"/>
                </c:ext>
              </c:extLst>
            </c:dLbl>
            <c:dLbl>
              <c:idx val="5"/>
              <c:tx>
                <c:rich>
                  <a:bodyPr/>
                  <a:lstStyle/>
                  <a:p>
                    <a:fld id="{C54D659F-9C85-4FC5-8B77-EB130D41CA6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CF97-4F0B-9C23-30B7ECE2B65B}"/>
                </c:ext>
              </c:extLst>
            </c:dLbl>
            <c:dLbl>
              <c:idx val="6"/>
              <c:tx>
                <c:rich>
                  <a:bodyPr/>
                  <a:lstStyle/>
                  <a:p>
                    <a:fld id="{3E6F13B4-F4FA-4AC0-8169-32500FC3F0C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CF97-4F0B-9C23-30B7ECE2B65B}"/>
                </c:ext>
              </c:extLst>
            </c:dLbl>
            <c:dLbl>
              <c:idx val="7"/>
              <c:tx>
                <c:rich>
                  <a:bodyPr/>
                  <a:lstStyle/>
                  <a:p>
                    <a:fld id="{0C74EF40-8FB2-4876-8C40-06009E5DBF0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CF97-4F0B-9C23-30B7ECE2B65B}"/>
                </c:ext>
              </c:extLst>
            </c:dLbl>
            <c:dLbl>
              <c:idx val="8"/>
              <c:tx>
                <c:rich>
                  <a:bodyPr/>
                  <a:lstStyle/>
                  <a:p>
                    <a:fld id="{0568EF7B-9A25-4EAD-BB93-311CB42CB8B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CF97-4F0B-9C23-30B7ECE2B65B}"/>
                </c:ext>
              </c:extLst>
            </c:dLbl>
            <c:dLbl>
              <c:idx val="9"/>
              <c:tx>
                <c:rich>
                  <a:bodyPr/>
                  <a:lstStyle/>
                  <a:p>
                    <a:fld id="{1FA9B6B6-78D8-481B-9D64-9E9E22E83B6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CF97-4F0B-9C23-30B7ECE2B65B}"/>
                </c:ext>
              </c:extLst>
            </c:dLbl>
            <c:dLbl>
              <c:idx val="10"/>
              <c:tx>
                <c:rich>
                  <a:bodyPr/>
                  <a:lstStyle/>
                  <a:p>
                    <a:fld id="{7330183A-9DDC-4BC4-8187-6BF44F9A2C1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CF97-4F0B-9C23-30B7ECE2B65B}"/>
                </c:ext>
              </c:extLst>
            </c:dLbl>
            <c:dLbl>
              <c:idx val="11"/>
              <c:tx>
                <c:rich>
                  <a:bodyPr/>
                  <a:lstStyle/>
                  <a:p>
                    <a:fld id="{E77C975E-D1B1-44C5-9B58-37201A9C2DC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CF97-4F0B-9C23-30B7ECE2B65B}"/>
                </c:ext>
              </c:extLst>
            </c:dLbl>
            <c:dLbl>
              <c:idx val="12"/>
              <c:tx>
                <c:rich>
                  <a:bodyPr/>
                  <a:lstStyle/>
                  <a:p>
                    <a:fld id="{9C772B74-F112-4933-8F28-9C1A90758AD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CF97-4F0B-9C23-30B7ECE2B65B}"/>
                </c:ext>
              </c:extLst>
            </c:dLbl>
            <c:dLbl>
              <c:idx val="13"/>
              <c:tx>
                <c:rich>
                  <a:bodyPr/>
                  <a:lstStyle/>
                  <a:p>
                    <a:fld id="{6BBAE97E-7C83-4B6A-8782-9A980EFB75E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CF97-4F0B-9C23-30B7ECE2B65B}"/>
                </c:ext>
              </c:extLst>
            </c:dLbl>
            <c:dLbl>
              <c:idx val="14"/>
              <c:tx>
                <c:rich>
                  <a:bodyPr/>
                  <a:lstStyle/>
                  <a:p>
                    <a:fld id="{0C0368C9-54DE-48CB-ADD1-07D7355FC14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CF97-4F0B-9C23-30B7ECE2B65B}"/>
                </c:ext>
              </c:extLst>
            </c:dLbl>
            <c:dLbl>
              <c:idx val="15"/>
              <c:tx>
                <c:rich>
                  <a:bodyPr/>
                  <a:lstStyle/>
                  <a:p>
                    <a:fld id="{EBC9FE65-2B82-497B-A478-F1D9406A032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CF97-4F0B-9C23-30B7ECE2B65B}"/>
                </c:ext>
              </c:extLst>
            </c:dLbl>
            <c:dLbl>
              <c:idx val="16"/>
              <c:tx>
                <c:rich>
                  <a:bodyPr/>
                  <a:lstStyle/>
                  <a:p>
                    <a:fld id="{7B2105E2-BD94-4C99-98B9-4440E7A76BF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CF97-4F0B-9C23-30B7ECE2B65B}"/>
                </c:ext>
              </c:extLst>
            </c:dLbl>
            <c:dLbl>
              <c:idx val="17"/>
              <c:tx>
                <c:rich>
                  <a:bodyPr/>
                  <a:lstStyle/>
                  <a:p>
                    <a:fld id="{8D149281-044D-470B-A89C-8C63FB6074B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CF97-4F0B-9C23-30B7ECE2B65B}"/>
                </c:ext>
              </c:extLst>
            </c:dLbl>
            <c:dLbl>
              <c:idx val="18"/>
              <c:tx>
                <c:rich>
                  <a:bodyPr/>
                  <a:lstStyle/>
                  <a:p>
                    <a:fld id="{299FC37E-D519-4A3B-A84F-99E776B5C53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CF97-4F0B-9C23-30B7ECE2B65B}"/>
                </c:ext>
              </c:extLst>
            </c:dLbl>
            <c:dLbl>
              <c:idx val="19"/>
              <c:tx>
                <c:rich>
                  <a:bodyPr/>
                  <a:lstStyle/>
                  <a:p>
                    <a:fld id="{4A597DCF-E6C9-4711-AAC9-E01013542FE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CF97-4F0B-9C23-30B7ECE2B65B}"/>
                </c:ext>
              </c:extLst>
            </c:dLbl>
            <c:dLbl>
              <c:idx val="20"/>
              <c:tx>
                <c:rich>
                  <a:bodyPr/>
                  <a:lstStyle/>
                  <a:p>
                    <a:fld id="{AC716CFE-2313-484D-A6E6-40F35C8DE6E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CF97-4F0B-9C23-30B7ECE2B65B}"/>
                </c:ext>
              </c:extLst>
            </c:dLbl>
            <c:dLbl>
              <c:idx val="21"/>
              <c:tx>
                <c:rich>
                  <a:bodyPr/>
                  <a:lstStyle/>
                  <a:p>
                    <a:fld id="{EEDEE3A2-C617-4FD2-817C-C6EF3ABB080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CF97-4F0B-9C23-30B7ECE2B65B}"/>
                </c:ext>
              </c:extLst>
            </c:dLbl>
            <c:dLbl>
              <c:idx val="22"/>
              <c:tx>
                <c:rich>
                  <a:bodyPr/>
                  <a:lstStyle/>
                  <a:p>
                    <a:fld id="{5B8157EE-6F26-4418-8462-49F154DD6CE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CF97-4F0B-9C23-30B7ECE2B65B}"/>
                </c:ext>
              </c:extLst>
            </c:dLbl>
            <c:dLbl>
              <c:idx val="23"/>
              <c:tx>
                <c:rich>
                  <a:bodyPr/>
                  <a:lstStyle/>
                  <a:p>
                    <a:fld id="{84AEF409-6566-4CCD-B646-8220659B8F7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CF97-4F0B-9C23-30B7ECE2B65B}"/>
                </c:ext>
              </c:extLst>
            </c:dLbl>
            <c:dLbl>
              <c:idx val="24"/>
              <c:tx>
                <c:rich>
                  <a:bodyPr/>
                  <a:lstStyle/>
                  <a:p>
                    <a:fld id="{538203B9-A6AF-4F04-8259-7C42CB39904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CF97-4F0B-9C23-30B7ECE2B65B}"/>
                </c:ext>
              </c:extLst>
            </c:dLbl>
            <c:dLbl>
              <c:idx val="25"/>
              <c:tx>
                <c:rich>
                  <a:bodyPr/>
                  <a:lstStyle/>
                  <a:p>
                    <a:fld id="{D5B233FE-FBA2-4FDC-AC05-8B731851C80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CF97-4F0B-9C23-30B7ECE2B65B}"/>
                </c:ext>
              </c:extLst>
            </c:dLbl>
            <c:dLbl>
              <c:idx val="26"/>
              <c:tx>
                <c:rich>
                  <a:bodyPr/>
                  <a:lstStyle/>
                  <a:p>
                    <a:fld id="{86C21DE3-1B01-45B9-B6A6-E050A68071B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CF97-4F0B-9C23-30B7ECE2B65B}"/>
                </c:ext>
              </c:extLst>
            </c:dLbl>
            <c:dLbl>
              <c:idx val="27"/>
              <c:tx>
                <c:rich>
                  <a:bodyPr/>
                  <a:lstStyle/>
                  <a:p>
                    <a:fld id="{EE10EF0C-B8D4-41E7-9485-386AE55FADF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CF97-4F0B-9C23-30B7ECE2B65B}"/>
                </c:ext>
              </c:extLst>
            </c:dLbl>
            <c:dLbl>
              <c:idx val="28"/>
              <c:tx>
                <c:rich>
                  <a:bodyPr/>
                  <a:lstStyle/>
                  <a:p>
                    <a:fld id="{351F3F57-81D7-40E0-993C-E63FC8DB784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CF97-4F0B-9C23-30B7ECE2B65B}"/>
                </c:ext>
              </c:extLst>
            </c:dLbl>
            <c:dLbl>
              <c:idx val="29"/>
              <c:tx>
                <c:rich>
                  <a:bodyPr/>
                  <a:lstStyle/>
                  <a:p>
                    <a:fld id="{B3585E43-D858-4B9A-A6FD-0920CA11273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CF97-4F0B-9C23-30B7ECE2B65B}"/>
                </c:ext>
              </c:extLst>
            </c:dLbl>
            <c:dLbl>
              <c:idx val="30"/>
              <c:tx>
                <c:rich>
                  <a:bodyPr/>
                  <a:lstStyle/>
                  <a:p>
                    <a:fld id="{04A3EE05-73CE-4519-973A-71E5764B104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CF97-4F0B-9C23-30B7ECE2B65B}"/>
                </c:ext>
              </c:extLst>
            </c:dLbl>
            <c:dLbl>
              <c:idx val="31"/>
              <c:tx>
                <c:rich>
                  <a:bodyPr/>
                  <a:lstStyle/>
                  <a:p>
                    <a:fld id="{7053A1B8-DCBD-4F4A-AE7C-5AEA1944172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CF97-4F0B-9C23-30B7ECE2B65B}"/>
                </c:ext>
              </c:extLst>
            </c:dLbl>
            <c:dLbl>
              <c:idx val="32"/>
              <c:tx>
                <c:rich>
                  <a:bodyPr/>
                  <a:lstStyle/>
                  <a:p>
                    <a:fld id="{2E8209E3-0C65-45FE-A0E7-B6F9BB4F977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CF97-4F0B-9C23-30B7ECE2B65B}"/>
                </c:ext>
              </c:extLst>
            </c:dLbl>
            <c:dLbl>
              <c:idx val="33"/>
              <c:tx>
                <c:rich>
                  <a:bodyPr/>
                  <a:lstStyle/>
                  <a:p>
                    <a:fld id="{BFAC53BC-DFC8-40CF-979B-ACF026DC854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CF97-4F0B-9C23-30B7ECE2B65B}"/>
                </c:ext>
              </c:extLst>
            </c:dLbl>
            <c:dLbl>
              <c:idx val="34"/>
              <c:tx>
                <c:rich>
                  <a:bodyPr/>
                  <a:lstStyle/>
                  <a:p>
                    <a:fld id="{CF8B43D3-48B2-4F53-B067-2B10222C330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3-CF97-4F0B-9C23-30B7ECE2B65B}"/>
                </c:ext>
              </c:extLst>
            </c:dLbl>
            <c:dLbl>
              <c:idx val="35"/>
              <c:tx>
                <c:rich>
                  <a:bodyPr/>
                  <a:lstStyle/>
                  <a:p>
                    <a:fld id="{613F1217-4CA4-45CD-B793-E0479D82E53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4-CF97-4F0B-9C23-30B7ECE2B65B}"/>
                </c:ext>
              </c:extLst>
            </c:dLbl>
            <c:dLbl>
              <c:idx val="36"/>
              <c:tx>
                <c:rich>
                  <a:bodyPr/>
                  <a:lstStyle/>
                  <a:p>
                    <a:fld id="{A0306B79-BBA6-4737-B182-62A4EFDAEC3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5-CF97-4F0B-9C23-30B7ECE2B65B}"/>
                </c:ext>
              </c:extLst>
            </c:dLbl>
            <c:dLbl>
              <c:idx val="37"/>
              <c:tx>
                <c:rich>
                  <a:bodyPr/>
                  <a:lstStyle/>
                  <a:p>
                    <a:fld id="{CAED2313-5CC2-450F-8657-A07C514B088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6-CF97-4F0B-9C23-30B7ECE2B65B}"/>
                </c:ext>
              </c:extLst>
            </c:dLbl>
            <c:dLbl>
              <c:idx val="38"/>
              <c:tx>
                <c:rich>
                  <a:bodyPr/>
                  <a:lstStyle/>
                  <a:p>
                    <a:fld id="{9835D172-0BF9-4541-A360-1A067AD0C7A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7-CF97-4F0B-9C23-30B7ECE2B65B}"/>
                </c:ext>
              </c:extLst>
            </c:dLbl>
            <c:dLbl>
              <c:idx val="39"/>
              <c:tx>
                <c:rich>
                  <a:bodyPr/>
                  <a:lstStyle/>
                  <a:p>
                    <a:fld id="{84843B84-663D-4BD5-AE1D-108108D83EC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8-CF97-4F0B-9C23-30B7ECE2B65B}"/>
                </c:ext>
              </c:extLst>
            </c:dLbl>
            <c:dLbl>
              <c:idx val="40"/>
              <c:tx>
                <c:rich>
                  <a:bodyPr/>
                  <a:lstStyle/>
                  <a:p>
                    <a:fld id="{A87217EB-93A9-400B-A1E1-2F3F40F8A51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9-CF97-4F0B-9C23-30B7ECE2B65B}"/>
                </c:ext>
              </c:extLst>
            </c:dLbl>
            <c:dLbl>
              <c:idx val="41"/>
              <c:tx>
                <c:rich>
                  <a:bodyPr/>
                  <a:lstStyle/>
                  <a:p>
                    <a:fld id="{B963D025-E019-4BF7-AD3D-8DA6B89FCD3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A-CF97-4F0B-9C23-30B7ECE2B65B}"/>
                </c:ext>
              </c:extLst>
            </c:dLbl>
            <c:dLbl>
              <c:idx val="42"/>
              <c:tx>
                <c:rich>
                  <a:bodyPr/>
                  <a:lstStyle/>
                  <a:p>
                    <a:fld id="{57F3D0ED-A59E-4EF2-9E1C-635CC8D2B91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B-CF97-4F0B-9C23-30B7ECE2B65B}"/>
                </c:ext>
              </c:extLst>
            </c:dLbl>
            <c:dLbl>
              <c:idx val="43"/>
              <c:tx>
                <c:rich>
                  <a:bodyPr/>
                  <a:lstStyle/>
                  <a:p>
                    <a:fld id="{DC38DB0C-1FDD-486C-A622-79F2C5D2CD8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C-CF97-4F0B-9C23-30B7ECE2B65B}"/>
                </c:ext>
              </c:extLst>
            </c:dLbl>
            <c:dLbl>
              <c:idx val="44"/>
              <c:tx>
                <c:rich>
                  <a:bodyPr/>
                  <a:lstStyle/>
                  <a:p>
                    <a:fld id="{E9D18497-85F3-4BB3-B0EC-25F85D3A776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D-CF97-4F0B-9C23-30B7ECE2B65B}"/>
                </c:ext>
              </c:extLst>
            </c:dLbl>
            <c:dLbl>
              <c:idx val="45"/>
              <c:tx>
                <c:rich>
                  <a:bodyPr/>
                  <a:lstStyle/>
                  <a:p>
                    <a:fld id="{A0833C86-21AE-4151-B42B-81271B903AA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E-CF97-4F0B-9C23-30B7ECE2B65B}"/>
                </c:ext>
              </c:extLst>
            </c:dLbl>
            <c:dLbl>
              <c:idx val="46"/>
              <c:tx>
                <c:rich>
                  <a:bodyPr/>
                  <a:lstStyle/>
                  <a:p>
                    <a:fld id="{31A6300B-4B30-4EFC-A814-61AFAD13936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F-CF97-4F0B-9C23-30B7ECE2B65B}"/>
                </c:ext>
              </c:extLst>
            </c:dLbl>
            <c:dLbl>
              <c:idx val="47"/>
              <c:tx>
                <c:rich>
                  <a:bodyPr/>
                  <a:lstStyle/>
                  <a:p>
                    <a:fld id="{A5D64517-4953-4C38-BD78-B1753663E63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0-CF97-4F0B-9C23-30B7ECE2B65B}"/>
                </c:ext>
              </c:extLst>
            </c:dLbl>
            <c:dLbl>
              <c:idx val="48"/>
              <c:tx>
                <c:rich>
                  <a:bodyPr/>
                  <a:lstStyle/>
                  <a:p>
                    <a:fld id="{18018371-5DAD-4C97-A2FA-3F152FE46A1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1-CF97-4F0B-9C23-30B7ECE2B65B}"/>
                </c:ext>
              </c:extLst>
            </c:dLbl>
            <c:dLbl>
              <c:idx val="49"/>
              <c:tx>
                <c:rich>
                  <a:bodyPr/>
                  <a:lstStyle/>
                  <a:p>
                    <a:fld id="{21EC21FA-1A86-465F-B782-9058BE83620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2-CF97-4F0B-9C23-30B7ECE2B65B}"/>
                </c:ext>
              </c:extLst>
            </c:dLbl>
            <c:dLbl>
              <c:idx val="50"/>
              <c:tx>
                <c:rich>
                  <a:bodyPr/>
                  <a:lstStyle/>
                  <a:p>
                    <a:fld id="{6CFF7951-3844-480B-86FD-37C69E3E6EB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3-CF97-4F0B-9C23-30B7ECE2B65B}"/>
                </c:ext>
              </c:extLst>
            </c:dLbl>
            <c:dLbl>
              <c:idx val="51"/>
              <c:tx>
                <c:rich>
                  <a:bodyPr/>
                  <a:lstStyle/>
                  <a:p>
                    <a:fld id="{0CB5B210-95BC-4A00-A6FC-93CF21658E2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4-CF97-4F0B-9C23-30B7ECE2B65B}"/>
                </c:ext>
              </c:extLst>
            </c:dLbl>
            <c:dLbl>
              <c:idx val="52"/>
              <c:tx>
                <c:rich>
                  <a:bodyPr/>
                  <a:lstStyle/>
                  <a:p>
                    <a:fld id="{67B02B6F-9ED9-4313-9A30-4394D0EDDC5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5-CF97-4F0B-9C23-30B7ECE2B65B}"/>
                </c:ext>
              </c:extLst>
            </c:dLbl>
            <c:dLbl>
              <c:idx val="53"/>
              <c:tx>
                <c:rich>
                  <a:bodyPr/>
                  <a:lstStyle/>
                  <a:p>
                    <a:fld id="{0A724C8A-0BD2-4C42-A6D0-62BBF5FE5AA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6-CF97-4F0B-9C23-30B7ECE2B65B}"/>
                </c:ext>
              </c:extLst>
            </c:dLbl>
            <c:dLbl>
              <c:idx val="54"/>
              <c:tx>
                <c:rich>
                  <a:bodyPr/>
                  <a:lstStyle/>
                  <a:p>
                    <a:fld id="{998CD347-3181-417D-A562-33185CE39B6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7-CF97-4F0B-9C23-30B7ECE2B65B}"/>
                </c:ext>
              </c:extLst>
            </c:dLbl>
            <c:dLbl>
              <c:idx val="55"/>
              <c:tx>
                <c:rich>
                  <a:bodyPr/>
                  <a:lstStyle/>
                  <a:p>
                    <a:fld id="{32253F7C-86BA-4D88-BDDF-BA4991118F7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8-CF97-4F0B-9C23-30B7ECE2B65B}"/>
                </c:ext>
              </c:extLst>
            </c:dLbl>
            <c:dLbl>
              <c:idx val="56"/>
              <c:tx>
                <c:rich>
                  <a:bodyPr/>
                  <a:lstStyle/>
                  <a:p>
                    <a:fld id="{18EEEB47-EBC9-46AF-8973-36CCA99A103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9-CF97-4F0B-9C23-30B7ECE2B65B}"/>
                </c:ext>
              </c:extLst>
            </c:dLbl>
            <c:dLbl>
              <c:idx val="57"/>
              <c:tx>
                <c:rich>
                  <a:bodyPr/>
                  <a:lstStyle/>
                  <a:p>
                    <a:endParaRPr lang="et-EE"/>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A-CF97-4F0B-9C23-30B7ECE2B65B}"/>
                </c:ext>
              </c:extLst>
            </c:dLbl>
            <c:dLbl>
              <c:idx val="58"/>
              <c:tx>
                <c:rich>
                  <a:bodyPr/>
                  <a:lstStyle/>
                  <a:p>
                    <a:fld id="{B1B63C16-F2F5-433F-86AA-2F929D969D9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B-CF97-4F0B-9C23-30B7ECE2B65B}"/>
                </c:ext>
              </c:extLst>
            </c:dLbl>
            <c:dLbl>
              <c:idx val="59"/>
              <c:tx>
                <c:rich>
                  <a:bodyPr/>
                  <a:lstStyle/>
                  <a:p>
                    <a:fld id="{92F89D3C-7455-4318-9062-E40CB68A1E0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C-CF97-4F0B-9C23-30B7ECE2B65B}"/>
                </c:ext>
              </c:extLst>
            </c:dLbl>
            <c:dLbl>
              <c:idx val="60"/>
              <c:tx>
                <c:rich>
                  <a:bodyPr/>
                  <a:lstStyle/>
                  <a:p>
                    <a:fld id="{A49FD8E4-5B42-43B0-BAEB-425FF37B1A6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D-CF97-4F0B-9C23-30B7ECE2B65B}"/>
                </c:ext>
              </c:extLst>
            </c:dLbl>
            <c:dLbl>
              <c:idx val="61"/>
              <c:tx>
                <c:rich>
                  <a:bodyPr/>
                  <a:lstStyle/>
                  <a:p>
                    <a:fld id="{FEC49498-FEFC-4D27-B1CA-6846A7F98ED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E-CF97-4F0B-9C23-30B7ECE2B65B}"/>
                </c:ext>
              </c:extLst>
            </c:dLbl>
            <c:dLbl>
              <c:idx val="62"/>
              <c:tx>
                <c:rich>
                  <a:bodyPr/>
                  <a:lstStyle/>
                  <a:p>
                    <a:fld id="{D1382D71-7F0A-4811-BFA8-7C46BCB64E0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F-CF97-4F0B-9C23-30B7ECE2B65B}"/>
                </c:ext>
              </c:extLst>
            </c:dLbl>
            <c:dLbl>
              <c:idx val="63"/>
              <c:tx>
                <c:rich>
                  <a:bodyPr/>
                  <a:lstStyle/>
                  <a:p>
                    <a:fld id="{EFF62407-B2FB-462D-8BEE-DF8A1FBCF93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0-CF97-4F0B-9C23-30B7ECE2B65B}"/>
                </c:ext>
              </c:extLst>
            </c:dLbl>
            <c:dLbl>
              <c:idx val="64"/>
              <c:tx>
                <c:rich>
                  <a:bodyPr/>
                  <a:lstStyle/>
                  <a:p>
                    <a:fld id="{BAD1BC27-DC04-4728-ADDB-4BC208D7748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1-CF97-4F0B-9C23-30B7ECE2B65B}"/>
                </c:ext>
              </c:extLst>
            </c:dLbl>
            <c:dLbl>
              <c:idx val="65"/>
              <c:tx>
                <c:rich>
                  <a:bodyPr/>
                  <a:lstStyle/>
                  <a:p>
                    <a:fld id="{1932308B-C070-4FB9-AC23-8AE0FD6FCD9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2-CF97-4F0B-9C23-30B7ECE2B65B}"/>
                </c:ext>
              </c:extLst>
            </c:dLbl>
            <c:dLbl>
              <c:idx val="66"/>
              <c:tx>
                <c:rich>
                  <a:bodyPr/>
                  <a:lstStyle/>
                  <a:p>
                    <a:fld id="{A2A44282-DD07-4568-A9FF-BFB1413A5CE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3-CF97-4F0B-9C23-30B7ECE2B65B}"/>
                </c:ext>
              </c:extLst>
            </c:dLbl>
            <c:dLbl>
              <c:idx val="67"/>
              <c:tx>
                <c:rich>
                  <a:bodyPr/>
                  <a:lstStyle/>
                  <a:p>
                    <a:fld id="{A8CC49BB-78E4-493F-B4D8-1A202C685CC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4-CF97-4F0B-9C23-30B7ECE2B65B}"/>
                </c:ext>
              </c:extLst>
            </c:dLbl>
            <c:dLbl>
              <c:idx val="68"/>
              <c:tx>
                <c:rich>
                  <a:bodyPr/>
                  <a:lstStyle/>
                  <a:p>
                    <a:fld id="{5EC0F77D-1EA2-4CA1-80FD-D9E56DE83E3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5-CF97-4F0B-9C23-30B7ECE2B65B}"/>
                </c:ext>
              </c:extLst>
            </c:dLbl>
            <c:dLbl>
              <c:idx val="69"/>
              <c:tx>
                <c:rich>
                  <a:bodyPr/>
                  <a:lstStyle/>
                  <a:p>
                    <a:fld id="{27CD2B7E-AD93-4E75-83B9-1B29E080BD1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6-CF97-4F0B-9C23-30B7ECE2B65B}"/>
                </c:ext>
              </c:extLst>
            </c:dLbl>
            <c:dLbl>
              <c:idx val="70"/>
              <c:tx>
                <c:rich>
                  <a:bodyPr/>
                  <a:lstStyle/>
                  <a:p>
                    <a:fld id="{EBC34B41-BB8D-420F-B473-53E9FFCC82C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7-CF97-4F0B-9C23-30B7ECE2B65B}"/>
                </c:ext>
              </c:extLst>
            </c:dLbl>
            <c:dLbl>
              <c:idx val="71"/>
              <c:tx>
                <c:rich>
                  <a:bodyPr/>
                  <a:lstStyle/>
                  <a:p>
                    <a:fld id="{7CF6D543-2A79-4B90-9504-78F863C4257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8-CF97-4F0B-9C23-30B7ECE2B65B}"/>
                </c:ext>
              </c:extLst>
            </c:dLbl>
            <c:dLbl>
              <c:idx val="72"/>
              <c:tx>
                <c:rich>
                  <a:bodyPr/>
                  <a:lstStyle/>
                  <a:p>
                    <a:fld id="{0088DC0B-5C31-4C94-9CA3-C4554851912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9-CF97-4F0B-9C23-30B7ECE2B65B}"/>
                </c:ext>
              </c:extLst>
            </c:dLbl>
            <c:dLbl>
              <c:idx val="73"/>
              <c:tx>
                <c:rich>
                  <a:bodyPr/>
                  <a:lstStyle/>
                  <a:p>
                    <a:fld id="{5FFEA607-B010-4978-BE92-7902EEEA5B8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A-CF97-4F0B-9C23-30B7ECE2B65B}"/>
                </c:ext>
              </c:extLst>
            </c:dLbl>
            <c:dLbl>
              <c:idx val="74"/>
              <c:tx>
                <c:rich>
                  <a:bodyPr/>
                  <a:lstStyle/>
                  <a:p>
                    <a:fld id="{A17A3592-61DC-47B2-A879-3196B5852A7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B-CF97-4F0B-9C23-30B7ECE2B65B}"/>
                </c:ext>
              </c:extLst>
            </c:dLbl>
            <c:dLbl>
              <c:idx val="75"/>
              <c:tx>
                <c:rich>
                  <a:bodyPr/>
                  <a:lstStyle/>
                  <a:p>
                    <a:fld id="{76D7B738-4F1E-4876-9811-F46741A9F8B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C-CF97-4F0B-9C23-30B7ECE2B65B}"/>
                </c:ext>
              </c:extLst>
            </c:dLbl>
            <c:dLbl>
              <c:idx val="76"/>
              <c:tx>
                <c:rich>
                  <a:bodyPr/>
                  <a:lstStyle/>
                  <a:p>
                    <a:fld id="{52EA22D4-E0F7-4E64-90C7-E52E266F484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D-CF97-4F0B-9C23-30B7ECE2B65B}"/>
                </c:ext>
              </c:extLst>
            </c:dLbl>
            <c:dLbl>
              <c:idx val="77"/>
              <c:tx>
                <c:rich>
                  <a:bodyPr/>
                  <a:lstStyle/>
                  <a:p>
                    <a:fld id="{9F77D8D1-F826-4D76-BA1E-22E567081AE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E-CF97-4F0B-9C23-30B7ECE2B65B}"/>
                </c:ext>
              </c:extLst>
            </c:dLbl>
            <c:dLbl>
              <c:idx val="78"/>
              <c:tx>
                <c:rich>
                  <a:bodyPr/>
                  <a:lstStyle/>
                  <a:p>
                    <a:fld id="{FEA0BF5D-777C-4C85-B28A-975C344A11F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F-CF97-4F0B-9C23-30B7ECE2B65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Alusharidus!$BD$4:$BD$82</c:f>
              <c:numCache>
                <c:formatCode>#,##0</c:formatCode>
                <c:ptCount val="79"/>
                <c:pt idx="0">
                  <c:v>668.875299061698</c:v>
                </c:pt>
                <c:pt idx="1">
                  <c:v>714.70470978866433</c:v>
                </c:pt>
                <c:pt idx="2">
                  <c:v>760.77061438047576</c:v>
                </c:pt>
                <c:pt idx="3">
                  <c:v>748.00569977843395</c:v>
                </c:pt>
                <c:pt idx="4">
                  <c:v>682.71739669421493</c:v>
                </c:pt>
                <c:pt idx="5">
                  <c:v>817.07832291386148</c:v>
                </c:pt>
                <c:pt idx="6">
                  <c:v>584.72238011695924</c:v>
                </c:pt>
                <c:pt idx="7">
                  <c:v>596.64160178082727</c:v>
                </c:pt>
                <c:pt idx="8">
                  <c:v>718.45268072289161</c:v>
                </c:pt>
                <c:pt idx="9">
                  <c:v>659.26688708036625</c:v>
                </c:pt>
                <c:pt idx="10">
                  <c:v>586.27710882867132</c:v>
                </c:pt>
                <c:pt idx="11">
                  <c:v>712.39943920425321</c:v>
                </c:pt>
                <c:pt idx="12">
                  <c:v>605.52968046709145</c:v>
                </c:pt>
                <c:pt idx="13">
                  <c:v>640.61930880930879</c:v>
                </c:pt>
                <c:pt idx="14">
                  <c:v>696.84004618129939</c:v>
                </c:pt>
                <c:pt idx="15">
                  <c:v>748.82517965587056</c:v>
                </c:pt>
                <c:pt idx="16">
                  <c:v>675.02789818548388</c:v>
                </c:pt>
                <c:pt idx="17">
                  <c:v>642.06320357142874</c:v>
                </c:pt>
                <c:pt idx="18">
                  <c:v>822.37385025062656</c:v>
                </c:pt>
                <c:pt idx="19">
                  <c:v>884.98318298969082</c:v>
                </c:pt>
                <c:pt idx="20">
                  <c:v>665.03165733886988</c:v>
                </c:pt>
                <c:pt idx="21">
                  <c:v>926.33413398692812</c:v>
                </c:pt>
                <c:pt idx="22">
                  <c:v>703.96222574796013</c:v>
                </c:pt>
                <c:pt idx="23">
                  <c:v>894.39071695760595</c:v>
                </c:pt>
                <c:pt idx="24">
                  <c:v>839.89684607260733</c:v>
                </c:pt>
                <c:pt idx="25">
                  <c:v>629.33023776705738</c:v>
                </c:pt>
                <c:pt idx="26">
                  <c:v>573.37162976839249</c:v>
                </c:pt>
                <c:pt idx="27">
                  <c:v>619.0629153432775</c:v>
                </c:pt>
                <c:pt idx="28">
                  <c:v>687.82592937268555</c:v>
                </c:pt>
                <c:pt idx="29">
                  <c:v>619.76607310746476</c:v>
                </c:pt>
                <c:pt idx="30">
                  <c:v>674.01166849015328</c:v>
                </c:pt>
                <c:pt idx="31">
                  <c:v>554.57548387096779</c:v>
                </c:pt>
                <c:pt idx="32">
                  <c:v>1375.6841390582194</c:v>
                </c:pt>
                <c:pt idx="33">
                  <c:v>580.58526507782108</c:v>
                </c:pt>
                <c:pt idx="34">
                  <c:v>740.55796740994845</c:v>
                </c:pt>
                <c:pt idx="35">
                  <c:v>700.62812201416909</c:v>
                </c:pt>
                <c:pt idx="36">
                  <c:v>554.05775414844391</c:v>
                </c:pt>
                <c:pt idx="37">
                  <c:v>720.00943327974289</c:v>
                </c:pt>
                <c:pt idx="38">
                  <c:v>609.89349534543965</c:v>
                </c:pt>
                <c:pt idx="39">
                  <c:v>593.77654481980653</c:v>
                </c:pt>
                <c:pt idx="40">
                  <c:v>539.45379006410246</c:v>
                </c:pt>
                <c:pt idx="41">
                  <c:v>597.00378644130592</c:v>
                </c:pt>
                <c:pt idx="42">
                  <c:v>771.23570490367763</c:v>
                </c:pt>
                <c:pt idx="43">
                  <c:v>454.98971590909088</c:v>
                </c:pt>
                <c:pt idx="44">
                  <c:v>532.90673333333348</c:v>
                </c:pt>
                <c:pt idx="45">
                  <c:v>610.24342479371853</c:v>
                </c:pt>
                <c:pt idx="46">
                  <c:v>633.86736406906869</c:v>
                </c:pt>
                <c:pt idx="47">
                  <c:v>743.55918499606105</c:v>
                </c:pt>
                <c:pt idx="48">
                  <c:v>586.18760286225404</c:v>
                </c:pt>
                <c:pt idx="49">
                  <c:v>657.58519327731096</c:v>
                </c:pt>
                <c:pt idx="50">
                  <c:v>701.19790594756887</c:v>
                </c:pt>
                <c:pt idx="51">
                  <c:v>598.44471536405331</c:v>
                </c:pt>
                <c:pt idx="52">
                  <c:v>599.75048275862071</c:v>
                </c:pt>
                <c:pt idx="53">
                  <c:v>719.5588095238096</c:v>
                </c:pt>
                <c:pt idx="54">
                  <c:v>599.60903956960794</c:v>
                </c:pt>
                <c:pt idx="55">
                  <c:v>687.06506250000018</c:v>
                </c:pt>
                <c:pt idx="56">
                  <c:v>907.35844135802472</c:v>
                </c:pt>
                <c:pt idx="58">
                  <c:v>578.59391333862538</c:v>
                </c:pt>
                <c:pt idx="59">
                  <c:v>760.96297923530858</c:v>
                </c:pt>
                <c:pt idx="60">
                  <c:v>719.09330128205113</c:v>
                </c:pt>
                <c:pt idx="61">
                  <c:v>743.7542480790338</c:v>
                </c:pt>
                <c:pt idx="62">
                  <c:v>638.99468061198411</c:v>
                </c:pt>
                <c:pt idx="63">
                  <c:v>706.49931881492842</c:v>
                </c:pt>
                <c:pt idx="64">
                  <c:v>655.44445329277039</c:v>
                </c:pt>
                <c:pt idx="65">
                  <c:v>690.03458489778893</c:v>
                </c:pt>
                <c:pt idx="66">
                  <c:v>689.00355533465881</c:v>
                </c:pt>
                <c:pt idx="67">
                  <c:v>575.35341849148415</c:v>
                </c:pt>
                <c:pt idx="68">
                  <c:v>651.67958413554095</c:v>
                </c:pt>
                <c:pt idx="69">
                  <c:v>688.49669560776294</c:v>
                </c:pt>
                <c:pt idx="70">
                  <c:v>686.49846863468622</c:v>
                </c:pt>
                <c:pt idx="71">
                  <c:v>528.1949645808736</c:v>
                </c:pt>
                <c:pt idx="72">
                  <c:v>576.03260546642889</c:v>
                </c:pt>
                <c:pt idx="73">
                  <c:v>603.15320950060914</c:v>
                </c:pt>
                <c:pt idx="74">
                  <c:v>576.12351297405201</c:v>
                </c:pt>
                <c:pt idx="75">
                  <c:v>633.07312499999989</c:v>
                </c:pt>
                <c:pt idx="76">
                  <c:v>610.03055582524291</c:v>
                </c:pt>
                <c:pt idx="77">
                  <c:v>672.78808888729452</c:v>
                </c:pt>
                <c:pt idx="78">
                  <c:v>654.64194719471948</c:v>
                </c:pt>
              </c:numCache>
            </c:numRef>
          </c:xVal>
          <c:yVal>
            <c:numRef>
              <c:f>Alusharidus!$CB$4:$CB$82</c:f>
              <c:numCache>
                <c:formatCode>0.00</c:formatCode>
                <c:ptCount val="79"/>
                <c:pt idx="0">
                  <c:v>1</c:v>
                </c:pt>
                <c:pt idx="1">
                  <c:v>1.4</c:v>
                </c:pt>
                <c:pt idx="2">
                  <c:v>1.1299999999999999</c:v>
                </c:pt>
                <c:pt idx="3">
                  <c:v>1.47</c:v>
                </c:pt>
                <c:pt idx="4">
                  <c:v>1</c:v>
                </c:pt>
                <c:pt idx="5">
                  <c:v>1.59</c:v>
                </c:pt>
                <c:pt idx="6">
                  <c:v>1.7</c:v>
                </c:pt>
                <c:pt idx="7">
                  <c:v>1.92</c:v>
                </c:pt>
                <c:pt idx="8">
                  <c:v>1.43</c:v>
                </c:pt>
                <c:pt idx="9">
                  <c:v>1</c:v>
                </c:pt>
                <c:pt idx="10">
                  <c:v>1.32</c:v>
                </c:pt>
                <c:pt idx="11">
                  <c:v>1.1100000000000001</c:v>
                </c:pt>
                <c:pt idx="12">
                  <c:v>1.1299999999999999</c:v>
                </c:pt>
                <c:pt idx="13">
                  <c:v>1.28</c:v>
                </c:pt>
                <c:pt idx="14">
                  <c:v>1</c:v>
                </c:pt>
                <c:pt idx="15">
                  <c:v>1.69</c:v>
                </c:pt>
                <c:pt idx="16">
                  <c:v>1.73</c:v>
                </c:pt>
                <c:pt idx="17">
                  <c:v>1.06</c:v>
                </c:pt>
                <c:pt idx="18">
                  <c:v>1.06</c:v>
                </c:pt>
                <c:pt idx="19">
                  <c:v>1.36</c:v>
                </c:pt>
                <c:pt idx="20">
                  <c:v>1.01</c:v>
                </c:pt>
                <c:pt idx="21">
                  <c:v>1.78</c:v>
                </c:pt>
                <c:pt idx="22">
                  <c:v>1</c:v>
                </c:pt>
                <c:pt idx="23">
                  <c:v>1.66</c:v>
                </c:pt>
                <c:pt idx="24">
                  <c:v>2.04</c:v>
                </c:pt>
                <c:pt idx="25">
                  <c:v>1.25</c:v>
                </c:pt>
                <c:pt idx="26">
                  <c:v>1.43</c:v>
                </c:pt>
                <c:pt idx="27">
                  <c:v>2.0099999999999998</c:v>
                </c:pt>
                <c:pt idx="28">
                  <c:v>1.57</c:v>
                </c:pt>
                <c:pt idx="29">
                  <c:v>1.57</c:v>
                </c:pt>
                <c:pt idx="30">
                  <c:v>1.92</c:v>
                </c:pt>
                <c:pt idx="31">
                  <c:v>1.1599999999999999</c:v>
                </c:pt>
                <c:pt idx="32">
                  <c:v>2.1</c:v>
                </c:pt>
                <c:pt idx="33">
                  <c:v>2.0099999999999998</c:v>
                </c:pt>
                <c:pt idx="34">
                  <c:v>1.97</c:v>
                </c:pt>
                <c:pt idx="35">
                  <c:v>1.49</c:v>
                </c:pt>
                <c:pt idx="36">
                  <c:v>1</c:v>
                </c:pt>
                <c:pt idx="37">
                  <c:v>1.58</c:v>
                </c:pt>
                <c:pt idx="38">
                  <c:v>1.36</c:v>
                </c:pt>
                <c:pt idx="39">
                  <c:v>1.88</c:v>
                </c:pt>
                <c:pt idx="40">
                  <c:v>1.7</c:v>
                </c:pt>
                <c:pt idx="41">
                  <c:v>1.98</c:v>
                </c:pt>
                <c:pt idx="42">
                  <c:v>2.02</c:v>
                </c:pt>
                <c:pt idx="43">
                  <c:v>2.1</c:v>
                </c:pt>
                <c:pt idx="44">
                  <c:v>1.95</c:v>
                </c:pt>
                <c:pt idx="45">
                  <c:v>1.1499999999999999</c:v>
                </c:pt>
                <c:pt idx="46">
                  <c:v>1.41</c:v>
                </c:pt>
                <c:pt idx="47">
                  <c:v>1.86</c:v>
                </c:pt>
                <c:pt idx="48">
                  <c:v>1.95</c:v>
                </c:pt>
                <c:pt idx="49">
                  <c:v>2.08</c:v>
                </c:pt>
                <c:pt idx="50">
                  <c:v>1.49</c:v>
                </c:pt>
                <c:pt idx="51">
                  <c:v>1.84</c:v>
                </c:pt>
                <c:pt idx="52">
                  <c:v>1.98</c:v>
                </c:pt>
                <c:pt idx="53">
                  <c:v>1.25</c:v>
                </c:pt>
                <c:pt idx="54">
                  <c:v>1.52</c:v>
                </c:pt>
                <c:pt idx="55">
                  <c:v>1.51</c:v>
                </c:pt>
                <c:pt idx="56">
                  <c:v>2.09</c:v>
                </c:pt>
                <c:pt idx="57">
                  <c:v>2.1</c:v>
                </c:pt>
                <c:pt idx="58">
                  <c:v>1.53</c:v>
                </c:pt>
                <c:pt idx="59">
                  <c:v>1.27</c:v>
                </c:pt>
                <c:pt idx="60">
                  <c:v>1.45</c:v>
                </c:pt>
                <c:pt idx="61">
                  <c:v>1.67</c:v>
                </c:pt>
                <c:pt idx="62">
                  <c:v>2.09</c:v>
                </c:pt>
                <c:pt idx="63">
                  <c:v>1.03</c:v>
                </c:pt>
                <c:pt idx="64">
                  <c:v>1.69</c:v>
                </c:pt>
                <c:pt idx="65">
                  <c:v>1.56</c:v>
                </c:pt>
                <c:pt idx="66">
                  <c:v>1.88</c:v>
                </c:pt>
                <c:pt idx="67">
                  <c:v>2.0299999999999998</c:v>
                </c:pt>
                <c:pt idx="68">
                  <c:v>1</c:v>
                </c:pt>
                <c:pt idx="69">
                  <c:v>1.96</c:v>
                </c:pt>
                <c:pt idx="70">
                  <c:v>2</c:v>
                </c:pt>
                <c:pt idx="71">
                  <c:v>1.85</c:v>
                </c:pt>
                <c:pt idx="72">
                  <c:v>1.2</c:v>
                </c:pt>
                <c:pt idx="73">
                  <c:v>1.69</c:v>
                </c:pt>
                <c:pt idx="74">
                  <c:v>1.8</c:v>
                </c:pt>
                <c:pt idx="75">
                  <c:v>2.0099999999999998</c:v>
                </c:pt>
                <c:pt idx="76">
                  <c:v>1</c:v>
                </c:pt>
                <c:pt idx="77">
                  <c:v>1.77</c:v>
                </c:pt>
                <c:pt idx="78">
                  <c:v>2.09</c:v>
                </c:pt>
              </c:numCache>
            </c:numRef>
          </c:yVal>
          <c:smooth val="0"/>
          <c:extLst>
            <c:ext xmlns:c15="http://schemas.microsoft.com/office/drawing/2012/chart" uri="{02D57815-91ED-43cb-92C2-25804820EDAC}">
              <c15:datalabelsRange>
                <c15:f>Alusharidus!$A$4:$A$82</c15:f>
                <c15:dlblRangeCache>
                  <c:ptCount val="79"/>
                  <c:pt idx="0">
                    <c:v>Tallinna linn</c:v>
                  </c:pt>
                  <c:pt idx="1">
                    <c:v>Anija vald</c:v>
                  </c:pt>
                  <c:pt idx="2">
                    <c:v>Harku vald</c:v>
                  </c:pt>
                  <c:pt idx="3">
                    <c:v>Jõelähtme vald</c:v>
                  </c:pt>
                  <c:pt idx="4">
                    <c:v>Keila linn</c:v>
                  </c:pt>
                  <c:pt idx="5">
                    <c:v>Kiili vald</c:v>
                  </c:pt>
                  <c:pt idx="6">
                    <c:v>Kose vald</c:v>
                  </c:pt>
                  <c:pt idx="7">
                    <c:v>Kuusalu vald</c:v>
                  </c:pt>
                  <c:pt idx="8">
                    <c:v>Loksa linn</c:v>
                  </c:pt>
                  <c:pt idx="9">
                    <c:v>Maardu linn</c:v>
                  </c:pt>
                  <c:pt idx="10">
                    <c:v>Raasiku vald</c:v>
                  </c:pt>
                  <c:pt idx="11">
                    <c:v>Rae vald</c:v>
                  </c:pt>
                  <c:pt idx="12">
                    <c:v>Saku vald</c:v>
                  </c:pt>
                  <c:pt idx="13">
                    <c:v>Saue vald</c:v>
                  </c:pt>
                  <c:pt idx="14">
                    <c:v>Viimsi vald</c:v>
                  </c:pt>
                  <c:pt idx="15">
                    <c:v>Lääne-Harju vald</c:v>
                  </c:pt>
                  <c:pt idx="16">
                    <c:v>Hiiumaa vald</c:v>
                  </c:pt>
                  <c:pt idx="17">
                    <c:v>Jõhvi vald</c:v>
                  </c:pt>
                  <c:pt idx="18">
                    <c:v>Kohtla-Järve linn</c:v>
                  </c:pt>
                  <c:pt idx="19">
                    <c:v>Lüganuse vald</c:v>
                  </c:pt>
                  <c:pt idx="20">
                    <c:v>Narva linn</c:v>
                  </c:pt>
                  <c:pt idx="21">
                    <c:v>Narva-Jõesuu linn</c:v>
                  </c:pt>
                  <c:pt idx="22">
                    <c:v>Sillamäe linn</c:v>
                  </c:pt>
                  <c:pt idx="23">
                    <c:v>Toila vald</c:v>
                  </c:pt>
                  <c:pt idx="24">
                    <c:v>Alutaguse vald</c:v>
                  </c:pt>
                  <c:pt idx="25">
                    <c:v>Paide linn</c:v>
                  </c:pt>
                  <c:pt idx="26">
                    <c:v>Türi vald</c:v>
                  </c:pt>
                  <c:pt idx="27">
                    <c:v>Järva vald</c:v>
                  </c:pt>
                  <c:pt idx="28">
                    <c:v>Jõgeva vald</c:v>
                  </c:pt>
                  <c:pt idx="29">
                    <c:v>Põltsamaa vald</c:v>
                  </c:pt>
                  <c:pt idx="30">
                    <c:v>Mustvee vald</c:v>
                  </c:pt>
                  <c:pt idx="31">
                    <c:v>Haapsalu linn</c:v>
                  </c:pt>
                  <c:pt idx="32">
                    <c:v>Vormsi vald</c:v>
                  </c:pt>
                  <c:pt idx="33">
                    <c:v>Lääne-Nigula vald</c:v>
                  </c:pt>
                  <c:pt idx="34">
                    <c:v>Haljala vald</c:v>
                  </c:pt>
                  <c:pt idx="35">
                    <c:v>Kadrina vald</c:v>
                  </c:pt>
                  <c:pt idx="36">
                    <c:v>Rakvere linn</c:v>
                  </c:pt>
                  <c:pt idx="37">
                    <c:v>Rakvere vald</c:v>
                  </c:pt>
                  <c:pt idx="38">
                    <c:v>Tapa vald</c:v>
                  </c:pt>
                  <c:pt idx="39">
                    <c:v>Vinni vald</c:v>
                  </c:pt>
                  <c:pt idx="40">
                    <c:v>Viru-Nigula vald</c:v>
                  </c:pt>
                  <c:pt idx="41">
                    <c:v>Väike-Maarja vald</c:v>
                  </c:pt>
                  <c:pt idx="42">
                    <c:v>Häädemeeste vald</c:v>
                  </c:pt>
                  <c:pt idx="43">
                    <c:v>Kihnu vald</c:v>
                  </c:pt>
                  <c:pt idx="44">
                    <c:v>Saarde vald</c:v>
                  </c:pt>
                  <c:pt idx="45">
                    <c:v>Pärnu linn</c:v>
                  </c:pt>
                  <c:pt idx="46">
                    <c:v>Tori vald</c:v>
                  </c:pt>
                  <c:pt idx="47">
                    <c:v>Põhja-Pärnumaa vald</c:v>
                  </c:pt>
                  <c:pt idx="48">
                    <c:v>Lääneranna vald</c:v>
                  </c:pt>
                  <c:pt idx="49">
                    <c:v>Kanepi vald</c:v>
                  </c:pt>
                  <c:pt idx="50">
                    <c:v>Põlva vald</c:v>
                  </c:pt>
                  <c:pt idx="51">
                    <c:v>Räpina vald</c:v>
                  </c:pt>
                  <c:pt idx="52">
                    <c:v>Kehtna vald</c:v>
                  </c:pt>
                  <c:pt idx="53">
                    <c:v>Kohila vald</c:v>
                  </c:pt>
                  <c:pt idx="54">
                    <c:v>Märjamaa vald</c:v>
                  </c:pt>
                  <c:pt idx="55">
                    <c:v>Rapla vald</c:v>
                  </c:pt>
                  <c:pt idx="56">
                    <c:v>Muhu vald</c:v>
                  </c:pt>
                  <c:pt idx="57">
                    <c:v>Ruhnu vald</c:v>
                  </c:pt>
                  <c:pt idx="58">
                    <c:v>Saaremaa vald</c:v>
                  </c:pt>
                  <c:pt idx="59">
                    <c:v>Kambja vald</c:v>
                  </c:pt>
                  <c:pt idx="60">
                    <c:v>Luunja vald</c:v>
                  </c:pt>
                  <c:pt idx="61">
                    <c:v>Nõo vald</c:v>
                  </c:pt>
                  <c:pt idx="62">
                    <c:v>Peipsiääre vald</c:v>
                  </c:pt>
                  <c:pt idx="63">
                    <c:v>Tartu linn</c:v>
                  </c:pt>
                  <c:pt idx="64">
                    <c:v>Tartu vald</c:v>
                  </c:pt>
                  <c:pt idx="65">
                    <c:v>Elva vald</c:v>
                  </c:pt>
                  <c:pt idx="66">
                    <c:v>Kastre vald</c:v>
                  </c:pt>
                  <c:pt idx="67">
                    <c:v>Mulgi vald</c:v>
                  </c:pt>
                  <c:pt idx="68">
                    <c:v>Viljandi linn</c:v>
                  </c:pt>
                  <c:pt idx="69">
                    <c:v>Viljandi vald</c:v>
                  </c:pt>
                  <c:pt idx="70">
                    <c:v>Põhja-Sakala vald</c:v>
                  </c:pt>
                  <c:pt idx="71">
                    <c:v>Otepää vald</c:v>
                  </c:pt>
                  <c:pt idx="72">
                    <c:v>Valga vald</c:v>
                  </c:pt>
                  <c:pt idx="73">
                    <c:v>Tõrva vald</c:v>
                  </c:pt>
                  <c:pt idx="74">
                    <c:v>Antsla vald</c:v>
                  </c:pt>
                  <c:pt idx="75">
                    <c:v>Rõuge vald</c:v>
                  </c:pt>
                  <c:pt idx="76">
                    <c:v>Võru linn</c:v>
                  </c:pt>
                  <c:pt idx="77">
                    <c:v>Võru vald</c:v>
                  </c:pt>
                  <c:pt idx="78">
                    <c:v>Setomaa vald</c:v>
                  </c:pt>
                </c15:dlblRangeCache>
              </c15:datalabelsRange>
            </c:ext>
            <c:ext xmlns:c16="http://schemas.microsoft.com/office/drawing/2014/chart" uri="{C3380CC4-5D6E-409C-BE32-E72D297353CC}">
              <c16:uniqueId val="{00000000-CF97-4F0B-9C23-30B7ECE2B65B}"/>
            </c:ext>
          </c:extLst>
        </c:ser>
        <c:dLbls>
          <c:showLegendKey val="0"/>
          <c:showVal val="0"/>
          <c:showCatName val="0"/>
          <c:showSerName val="0"/>
          <c:showPercent val="0"/>
          <c:showBubbleSize val="0"/>
        </c:dLbls>
        <c:axId val="1328638975"/>
        <c:axId val="997580256"/>
      </c:scatterChart>
      <c:valAx>
        <c:axId val="1328638975"/>
        <c:scaling>
          <c:orientation val="minMax"/>
          <c:max val="1000"/>
          <c:min val="40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Kulu lapse kohta kuus</a:t>
                </a:r>
                <a:r>
                  <a:rPr lang="et-EE"/>
                  <a:t> (eurot)</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997580256"/>
        <c:crosses val="autoZero"/>
        <c:crossBetween val="midCat"/>
      </c:valAx>
      <c:valAx>
        <c:axId val="997580256"/>
        <c:scaling>
          <c:orientation val="minMax"/>
          <c:min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Tagamaalisuse koefitsient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t-EE"/>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328638975"/>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t-EE"/>
              <a:t>Koolikoha maksumus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t-EE"/>
        </a:p>
      </c:txPr>
    </c:title>
    <c:autoTitleDeleted val="0"/>
    <c:plotArea>
      <c:layout/>
      <c:scatterChart>
        <c:scatterStyle val="lineMarker"/>
        <c:varyColors val="0"/>
        <c:ser>
          <c:idx val="0"/>
          <c:order val="0"/>
          <c:spPr>
            <a:ln w="28575" cap="rnd">
              <a:noFill/>
              <a:round/>
            </a:ln>
            <a:effectLst/>
          </c:spPr>
          <c:marker>
            <c:symbol val="circle"/>
            <c:size val="5"/>
            <c:spPr>
              <a:solidFill>
                <a:schemeClr val="accent1"/>
              </a:solidFill>
              <a:ln w="9525">
                <a:solidFill>
                  <a:schemeClr val="accent1"/>
                </a:solidFill>
              </a:ln>
              <a:effectLst/>
            </c:spPr>
          </c:marker>
          <c:dLbls>
            <c:dLbl>
              <c:idx val="0"/>
              <c:tx>
                <c:rich>
                  <a:bodyPr/>
                  <a:lstStyle/>
                  <a:p>
                    <a:fld id="{DB40339A-3496-4D8C-BE5F-E02A76060F2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BFD8-4F08-84E9-F3F5B0D68B05}"/>
                </c:ext>
              </c:extLst>
            </c:dLbl>
            <c:dLbl>
              <c:idx val="1"/>
              <c:tx>
                <c:rich>
                  <a:bodyPr/>
                  <a:lstStyle/>
                  <a:p>
                    <a:fld id="{F7700C40-C12B-48A2-B037-62F9B8D304A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BFD8-4F08-84E9-F3F5B0D68B05}"/>
                </c:ext>
              </c:extLst>
            </c:dLbl>
            <c:dLbl>
              <c:idx val="2"/>
              <c:tx>
                <c:rich>
                  <a:bodyPr/>
                  <a:lstStyle/>
                  <a:p>
                    <a:fld id="{84896FCE-7384-4686-9A74-58EE0021A20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BFD8-4F08-84E9-F3F5B0D68B05}"/>
                </c:ext>
              </c:extLst>
            </c:dLbl>
            <c:dLbl>
              <c:idx val="3"/>
              <c:tx>
                <c:rich>
                  <a:bodyPr/>
                  <a:lstStyle/>
                  <a:p>
                    <a:fld id="{5E2E0BDA-8E48-46B6-B6E3-E2C21820AF6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BFD8-4F08-84E9-F3F5B0D68B05}"/>
                </c:ext>
              </c:extLst>
            </c:dLbl>
            <c:dLbl>
              <c:idx val="4"/>
              <c:tx>
                <c:rich>
                  <a:bodyPr/>
                  <a:lstStyle/>
                  <a:p>
                    <a:fld id="{76FCDE78-FD57-4D15-9D2B-284C2EF3FE9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BFD8-4F08-84E9-F3F5B0D68B05}"/>
                </c:ext>
              </c:extLst>
            </c:dLbl>
            <c:dLbl>
              <c:idx val="5"/>
              <c:tx>
                <c:rich>
                  <a:bodyPr/>
                  <a:lstStyle/>
                  <a:p>
                    <a:fld id="{36D25E29-E13F-46B9-A404-F0EA35D1BC2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BFD8-4F08-84E9-F3F5B0D68B05}"/>
                </c:ext>
              </c:extLst>
            </c:dLbl>
            <c:dLbl>
              <c:idx val="6"/>
              <c:tx>
                <c:rich>
                  <a:bodyPr/>
                  <a:lstStyle/>
                  <a:p>
                    <a:fld id="{E8A835C3-0400-4774-A403-C32CD2E42F1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BFD8-4F08-84E9-F3F5B0D68B05}"/>
                </c:ext>
              </c:extLst>
            </c:dLbl>
            <c:dLbl>
              <c:idx val="7"/>
              <c:tx>
                <c:rich>
                  <a:bodyPr/>
                  <a:lstStyle/>
                  <a:p>
                    <a:fld id="{78402B0F-F270-4A22-BA21-BBA166AE7CA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BFD8-4F08-84E9-F3F5B0D68B05}"/>
                </c:ext>
              </c:extLst>
            </c:dLbl>
            <c:dLbl>
              <c:idx val="8"/>
              <c:tx>
                <c:rich>
                  <a:bodyPr/>
                  <a:lstStyle/>
                  <a:p>
                    <a:fld id="{50E492CE-F604-45A8-AAA0-0BACD6B782A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BFD8-4F08-84E9-F3F5B0D68B05}"/>
                </c:ext>
              </c:extLst>
            </c:dLbl>
            <c:dLbl>
              <c:idx val="9"/>
              <c:tx>
                <c:rich>
                  <a:bodyPr/>
                  <a:lstStyle/>
                  <a:p>
                    <a:fld id="{885F1C4B-B6A0-4456-ABAC-77AE3FBF648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BFD8-4F08-84E9-F3F5B0D68B05}"/>
                </c:ext>
              </c:extLst>
            </c:dLbl>
            <c:dLbl>
              <c:idx val="10"/>
              <c:tx>
                <c:rich>
                  <a:bodyPr/>
                  <a:lstStyle/>
                  <a:p>
                    <a:fld id="{DC1122E3-42A4-44AB-B882-5FBF5520C0A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BFD8-4F08-84E9-F3F5B0D68B05}"/>
                </c:ext>
              </c:extLst>
            </c:dLbl>
            <c:dLbl>
              <c:idx val="11"/>
              <c:tx>
                <c:rich>
                  <a:bodyPr/>
                  <a:lstStyle/>
                  <a:p>
                    <a:fld id="{6C363AA2-BC7F-4FFC-8EF8-F91C5100253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BFD8-4F08-84E9-F3F5B0D68B05}"/>
                </c:ext>
              </c:extLst>
            </c:dLbl>
            <c:dLbl>
              <c:idx val="12"/>
              <c:tx>
                <c:rich>
                  <a:bodyPr/>
                  <a:lstStyle/>
                  <a:p>
                    <a:fld id="{0CD5B423-A01B-401C-AD3A-5C18E703026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BFD8-4F08-84E9-F3F5B0D68B05}"/>
                </c:ext>
              </c:extLst>
            </c:dLbl>
            <c:dLbl>
              <c:idx val="13"/>
              <c:tx>
                <c:rich>
                  <a:bodyPr/>
                  <a:lstStyle/>
                  <a:p>
                    <a:fld id="{C698E0CF-50C0-45DB-A8C0-F5FD8D3BA41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BFD8-4F08-84E9-F3F5B0D68B05}"/>
                </c:ext>
              </c:extLst>
            </c:dLbl>
            <c:dLbl>
              <c:idx val="14"/>
              <c:tx>
                <c:rich>
                  <a:bodyPr/>
                  <a:lstStyle/>
                  <a:p>
                    <a:fld id="{39ECAC7A-BA95-42DE-885B-7AEB3F5DB29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BFD8-4F08-84E9-F3F5B0D68B05}"/>
                </c:ext>
              </c:extLst>
            </c:dLbl>
            <c:dLbl>
              <c:idx val="15"/>
              <c:tx>
                <c:rich>
                  <a:bodyPr/>
                  <a:lstStyle/>
                  <a:p>
                    <a:fld id="{09CC879A-B21B-465D-B55B-6B5A96651B9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BFD8-4F08-84E9-F3F5B0D68B05}"/>
                </c:ext>
              </c:extLst>
            </c:dLbl>
            <c:dLbl>
              <c:idx val="16"/>
              <c:tx>
                <c:rich>
                  <a:bodyPr/>
                  <a:lstStyle/>
                  <a:p>
                    <a:fld id="{03A3B1BE-A70E-4F35-A71D-B776BC71A6A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BFD8-4F08-84E9-F3F5B0D68B05}"/>
                </c:ext>
              </c:extLst>
            </c:dLbl>
            <c:dLbl>
              <c:idx val="17"/>
              <c:tx>
                <c:rich>
                  <a:bodyPr/>
                  <a:lstStyle/>
                  <a:p>
                    <a:fld id="{12E12FD4-113D-4D18-8981-EC0D1CD07D4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BFD8-4F08-84E9-F3F5B0D68B05}"/>
                </c:ext>
              </c:extLst>
            </c:dLbl>
            <c:dLbl>
              <c:idx val="18"/>
              <c:tx>
                <c:rich>
                  <a:bodyPr/>
                  <a:lstStyle/>
                  <a:p>
                    <a:fld id="{D850FFEA-078D-487E-88D8-981123C1C46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BFD8-4F08-84E9-F3F5B0D68B05}"/>
                </c:ext>
              </c:extLst>
            </c:dLbl>
            <c:dLbl>
              <c:idx val="19"/>
              <c:tx>
                <c:rich>
                  <a:bodyPr/>
                  <a:lstStyle/>
                  <a:p>
                    <a:fld id="{C8C4ADA6-C55E-4EFF-BBE0-557464F618A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BFD8-4F08-84E9-F3F5B0D68B05}"/>
                </c:ext>
              </c:extLst>
            </c:dLbl>
            <c:dLbl>
              <c:idx val="20"/>
              <c:tx>
                <c:rich>
                  <a:bodyPr/>
                  <a:lstStyle/>
                  <a:p>
                    <a:fld id="{1CA48008-4FEA-40F8-87DB-CB36C0E60AF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BFD8-4F08-84E9-F3F5B0D68B05}"/>
                </c:ext>
              </c:extLst>
            </c:dLbl>
            <c:dLbl>
              <c:idx val="21"/>
              <c:tx>
                <c:rich>
                  <a:bodyPr/>
                  <a:lstStyle/>
                  <a:p>
                    <a:fld id="{16DEFA97-B94D-4EA5-B442-CA2B6B04E98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BFD8-4F08-84E9-F3F5B0D68B05}"/>
                </c:ext>
              </c:extLst>
            </c:dLbl>
            <c:dLbl>
              <c:idx val="22"/>
              <c:tx>
                <c:rich>
                  <a:bodyPr/>
                  <a:lstStyle/>
                  <a:p>
                    <a:fld id="{78E28019-0E0B-47C7-814A-F702185177C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BFD8-4F08-84E9-F3F5B0D68B05}"/>
                </c:ext>
              </c:extLst>
            </c:dLbl>
            <c:dLbl>
              <c:idx val="23"/>
              <c:tx>
                <c:rich>
                  <a:bodyPr/>
                  <a:lstStyle/>
                  <a:p>
                    <a:fld id="{43CB7F0C-2707-4820-81DE-66DC087701F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BFD8-4F08-84E9-F3F5B0D68B05}"/>
                </c:ext>
              </c:extLst>
            </c:dLbl>
            <c:dLbl>
              <c:idx val="24"/>
              <c:tx>
                <c:rich>
                  <a:bodyPr/>
                  <a:lstStyle/>
                  <a:p>
                    <a:fld id="{9CB8B109-B240-4CC9-B285-42656EA496B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BFD8-4F08-84E9-F3F5B0D68B05}"/>
                </c:ext>
              </c:extLst>
            </c:dLbl>
            <c:dLbl>
              <c:idx val="25"/>
              <c:tx>
                <c:rich>
                  <a:bodyPr/>
                  <a:lstStyle/>
                  <a:p>
                    <a:fld id="{8511226E-11C4-469C-8CC3-311A2D837B0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BFD8-4F08-84E9-F3F5B0D68B05}"/>
                </c:ext>
              </c:extLst>
            </c:dLbl>
            <c:dLbl>
              <c:idx val="26"/>
              <c:tx>
                <c:rich>
                  <a:bodyPr/>
                  <a:lstStyle/>
                  <a:p>
                    <a:fld id="{BC0FABEE-B3DC-463C-83E7-69A19F1126A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BFD8-4F08-84E9-F3F5B0D68B05}"/>
                </c:ext>
              </c:extLst>
            </c:dLbl>
            <c:dLbl>
              <c:idx val="27"/>
              <c:tx>
                <c:rich>
                  <a:bodyPr/>
                  <a:lstStyle/>
                  <a:p>
                    <a:fld id="{7458ED56-D123-414F-948B-6E3AF5C5C69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BFD8-4F08-84E9-F3F5B0D68B05}"/>
                </c:ext>
              </c:extLst>
            </c:dLbl>
            <c:dLbl>
              <c:idx val="28"/>
              <c:tx>
                <c:rich>
                  <a:bodyPr/>
                  <a:lstStyle/>
                  <a:p>
                    <a:fld id="{83548A7A-C74B-4811-BE48-F9986210F3E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BFD8-4F08-84E9-F3F5B0D68B05}"/>
                </c:ext>
              </c:extLst>
            </c:dLbl>
            <c:dLbl>
              <c:idx val="29"/>
              <c:tx>
                <c:rich>
                  <a:bodyPr/>
                  <a:lstStyle/>
                  <a:p>
                    <a:fld id="{D678340E-0C17-49C1-A1DA-440B38C26F5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BFD8-4F08-84E9-F3F5B0D68B05}"/>
                </c:ext>
              </c:extLst>
            </c:dLbl>
            <c:dLbl>
              <c:idx val="30"/>
              <c:tx>
                <c:rich>
                  <a:bodyPr/>
                  <a:lstStyle/>
                  <a:p>
                    <a:fld id="{8EB33B39-F3A4-45A5-9338-5E4FF371000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BFD8-4F08-84E9-F3F5B0D68B05}"/>
                </c:ext>
              </c:extLst>
            </c:dLbl>
            <c:dLbl>
              <c:idx val="31"/>
              <c:tx>
                <c:rich>
                  <a:bodyPr/>
                  <a:lstStyle/>
                  <a:p>
                    <a:fld id="{1635DADB-A461-4FE8-8102-58342B72987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BFD8-4F08-84E9-F3F5B0D68B05}"/>
                </c:ext>
              </c:extLst>
            </c:dLbl>
            <c:dLbl>
              <c:idx val="32"/>
              <c:tx>
                <c:rich>
                  <a:bodyPr/>
                  <a:lstStyle/>
                  <a:p>
                    <a:fld id="{6EAF22FB-2AA1-4B6F-9350-66B9E80D009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BFD8-4F08-84E9-F3F5B0D68B05}"/>
                </c:ext>
              </c:extLst>
            </c:dLbl>
            <c:dLbl>
              <c:idx val="33"/>
              <c:tx>
                <c:rich>
                  <a:bodyPr/>
                  <a:lstStyle/>
                  <a:p>
                    <a:fld id="{F87777EB-B1EA-4FBA-B4DD-6D98690D0F2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BFD8-4F08-84E9-F3F5B0D68B05}"/>
                </c:ext>
              </c:extLst>
            </c:dLbl>
            <c:dLbl>
              <c:idx val="34"/>
              <c:tx>
                <c:rich>
                  <a:bodyPr/>
                  <a:lstStyle/>
                  <a:p>
                    <a:fld id="{FE241D61-D687-455B-A718-6F4285B3C70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BFD8-4F08-84E9-F3F5B0D68B05}"/>
                </c:ext>
              </c:extLst>
            </c:dLbl>
            <c:dLbl>
              <c:idx val="35"/>
              <c:tx>
                <c:rich>
                  <a:bodyPr/>
                  <a:lstStyle/>
                  <a:p>
                    <a:fld id="{F94CB269-FC20-4F86-8222-FB106EFCCE4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3-BFD8-4F08-84E9-F3F5B0D68B05}"/>
                </c:ext>
              </c:extLst>
            </c:dLbl>
            <c:dLbl>
              <c:idx val="36"/>
              <c:tx>
                <c:rich>
                  <a:bodyPr/>
                  <a:lstStyle/>
                  <a:p>
                    <a:fld id="{40525617-AB3C-4EAD-926C-FA9D8DB825C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4-BFD8-4F08-84E9-F3F5B0D68B05}"/>
                </c:ext>
              </c:extLst>
            </c:dLbl>
            <c:dLbl>
              <c:idx val="37"/>
              <c:tx>
                <c:rich>
                  <a:bodyPr/>
                  <a:lstStyle/>
                  <a:p>
                    <a:fld id="{7D4B9B6B-89C3-4DB9-B5F4-5F1D377C98E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5-BFD8-4F08-84E9-F3F5B0D68B05}"/>
                </c:ext>
              </c:extLst>
            </c:dLbl>
            <c:dLbl>
              <c:idx val="38"/>
              <c:tx>
                <c:rich>
                  <a:bodyPr/>
                  <a:lstStyle/>
                  <a:p>
                    <a:fld id="{CD7F6AD3-AE32-4265-B19E-68059B9677A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6-BFD8-4F08-84E9-F3F5B0D68B05}"/>
                </c:ext>
              </c:extLst>
            </c:dLbl>
            <c:dLbl>
              <c:idx val="39"/>
              <c:tx>
                <c:rich>
                  <a:bodyPr/>
                  <a:lstStyle/>
                  <a:p>
                    <a:fld id="{105ACF59-A2BF-437D-A5D3-2219D77EB43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7-BFD8-4F08-84E9-F3F5B0D68B05}"/>
                </c:ext>
              </c:extLst>
            </c:dLbl>
            <c:dLbl>
              <c:idx val="40"/>
              <c:tx>
                <c:rich>
                  <a:bodyPr/>
                  <a:lstStyle/>
                  <a:p>
                    <a:fld id="{414AB5B4-B941-4F9E-9E25-3944AF87478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8-BFD8-4F08-84E9-F3F5B0D68B05}"/>
                </c:ext>
              </c:extLst>
            </c:dLbl>
            <c:dLbl>
              <c:idx val="41"/>
              <c:tx>
                <c:rich>
                  <a:bodyPr/>
                  <a:lstStyle/>
                  <a:p>
                    <a:fld id="{9F0F3954-F6B8-4D50-8993-6D6F04466F7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9-BFD8-4F08-84E9-F3F5B0D68B05}"/>
                </c:ext>
              </c:extLst>
            </c:dLbl>
            <c:dLbl>
              <c:idx val="42"/>
              <c:tx>
                <c:rich>
                  <a:bodyPr/>
                  <a:lstStyle/>
                  <a:p>
                    <a:fld id="{F4D3F445-4705-4BB1-B560-2430E530EC8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A-BFD8-4F08-84E9-F3F5B0D68B05}"/>
                </c:ext>
              </c:extLst>
            </c:dLbl>
            <c:dLbl>
              <c:idx val="43"/>
              <c:tx>
                <c:rich>
                  <a:bodyPr/>
                  <a:lstStyle/>
                  <a:p>
                    <a:fld id="{BA56BC08-FC17-4A1B-8F57-0825A9C57AC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B-BFD8-4F08-84E9-F3F5B0D68B05}"/>
                </c:ext>
              </c:extLst>
            </c:dLbl>
            <c:dLbl>
              <c:idx val="44"/>
              <c:tx>
                <c:rich>
                  <a:bodyPr/>
                  <a:lstStyle/>
                  <a:p>
                    <a:fld id="{0E4AA0D1-F290-47E4-AD8B-3A16AC538DD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C-BFD8-4F08-84E9-F3F5B0D68B05}"/>
                </c:ext>
              </c:extLst>
            </c:dLbl>
            <c:dLbl>
              <c:idx val="45"/>
              <c:tx>
                <c:rich>
                  <a:bodyPr/>
                  <a:lstStyle/>
                  <a:p>
                    <a:fld id="{9870E747-9BFD-44D2-9A7C-FCC17C0ED7A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D-BFD8-4F08-84E9-F3F5B0D68B05}"/>
                </c:ext>
              </c:extLst>
            </c:dLbl>
            <c:dLbl>
              <c:idx val="46"/>
              <c:tx>
                <c:rich>
                  <a:bodyPr/>
                  <a:lstStyle/>
                  <a:p>
                    <a:fld id="{222DCA89-B5F1-493D-A4AF-3B33AEEF5CB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E-BFD8-4F08-84E9-F3F5B0D68B05}"/>
                </c:ext>
              </c:extLst>
            </c:dLbl>
            <c:dLbl>
              <c:idx val="47"/>
              <c:tx>
                <c:rich>
                  <a:bodyPr/>
                  <a:lstStyle/>
                  <a:p>
                    <a:fld id="{A0BF94C5-E388-44E7-962C-3B4F91995BB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F-BFD8-4F08-84E9-F3F5B0D68B05}"/>
                </c:ext>
              </c:extLst>
            </c:dLbl>
            <c:dLbl>
              <c:idx val="48"/>
              <c:tx>
                <c:rich>
                  <a:bodyPr/>
                  <a:lstStyle/>
                  <a:p>
                    <a:fld id="{1B3DD2F0-577F-493C-86F2-29A20A75894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0-BFD8-4F08-84E9-F3F5B0D68B05}"/>
                </c:ext>
              </c:extLst>
            </c:dLbl>
            <c:dLbl>
              <c:idx val="49"/>
              <c:tx>
                <c:rich>
                  <a:bodyPr/>
                  <a:lstStyle/>
                  <a:p>
                    <a:fld id="{08960483-EA67-4FA4-A5D1-46D33989F77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1-BFD8-4F08-84E9-F3F5B0D68B05}"/>
                </c:ext>
              </c:extLst>
            </c:dLbl>
            <c:dLbl>
              <c:idx val="50"/>
              <c:tx>
                <c:rich>
                  <a:bodyPr/>
                  <a:lstStyle/>
                  <a:p>
                    <a:fld id="{6C891A8A-7D5E-4EA4-85CB-766440C910F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2-BFD8-4F08-84E9-F3F5B0D68B05}"/>
                </c:ext>
              </c:extLst>
            </c:dLbl>
            <c:dLbl>
              <c:idx val="51"/>
              <c:tx>
                <c:rich>
                  <a:bodyPr/>
                  <a:lstStyle/>
                  <a:p>
                    <a:fld id="{0752BC70-C3C2-4123-BD05-97DCB47FED8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3-BFD8-4F08-84E9-F3F5B0D68B05}"/>
                </c:ext>
              </c:extLst>
            </c:dLbl>
            <c:dLbl>
              <c:idx val="52"/>
              <c:tx>
                <c:rich>
                  <a:bodyPr/>
                  <a:lstStyle/>
                  <a:p>
                    <a:fld id="{A4800970-794A-4634-9832-E898EA41EDD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4-BFD8-4F08-84E9-F3F5B0D68B05}"/>
                </c:ext>
              </c:extLst>
            </c:dLbl>
            <c:dLbl>
              <c:idx val="53"/>
              <c:tx>
                <c:rich>
                  <a:bodyPr/>
                  <a:lstStyle/>
                  <a:p>
                    <a:fld id="{71C298A4-E917-42CA-A150-00E7F18CD47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5-BFD8-4F08-84E9-F3F5B0D68B05}"/>
                </c:ext>
              </c:extLst>
            </c:dLbl>
            <c:dLbl>
              <c:idx val="54"/>
              <c:tx>
                <c:rich>
                  <a:bodyPr/>
                  <a:lstStyle/>
                  <a:p>
                    <a:fld id="{73F4634C-FDC6-4E05-8C78-E6B967BCFD3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6-BFD8-4F08-84E9-F3F5B0D68B05}"/>
                </c:ext>
              </c:extLst>
            </c:dLbl>
            <c:dLbl>
              <c:idx val="55"/>
              <c:tx>
                <c:rich>
                  <a:bodyPr/>
                  <a:lstStyle/>
                  <a:p>
                    <a:fld id="{E1645A87-C976-47CC-9635-B66D86E4DE6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7-BFD8-4F08-84E9-F3F5B0D68B05}"/>
                </c:ext>
              </c:extLst>
            </c:dLbl>
            <c:dLbl>
              <c:idx val="56"/>
              <c:tx>
                <c:rich>
                  <a:bodyPr/>
                  <a:lstStyle/>
                  <a:p>
                    <a:fld id="{3EB76E35-467F-4C7C-8D15-B519F0C9404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8-BFD8-4F08-84E9-F3F5B0D68B05}"/>
                </c:ext>
              </c:extLst>
            </c:dLbl>
            <c:dLbl>
              <c:idx val="57"/>
              <c:tx>
                <c:rich>
                  <a:bodyPr/>
                  <a:lstStyle/>
                  <a:p>
                    <a:fld id="{075195B2-1043-401B-9007-2F109E8807F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9-BFD8-4F08-84E9-F3F5B0D68B05}"/>
                </c:ext>
              </c:extLst>
            </c:dLbl>
            <c:dLbl>
              <c:idx val="58"/>
              <c:tx>
                <c:rich>
                  <a:bodyPr/>
                  <a:lstStyle/>
                  <a:p>
                    <a:fld id="{048626D7-46F5-419A-B188-9D625B2E32E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A-BFD8-4F08-84E9-F3F5B0D68B05}"/>
                </c:ext>
              </c:extLst>
            </c:dLbl>
            <c:dLbl>
              <c:idx val="59"/>
              <c:tx>
                <c:rich>
                  <a:bodyPr/>
                  <a:lstStyle/>
                  <a:p>
                    <a:fld id="{C196452E-2A67-4239-9337-B065E5E4888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B-BFD8-4F08-84E9-F3F5B0D68B05}"/>
                </c:ext>
              </c:extLst>
            </c:dLbl>
            <c:dLbl>
              <c:idx val="60"/>
              <c:tx>
                <c:rich>
                  <a:bodyPr/>
                  <a:lstStyle/>
                  <a:p>
                    <a:fld id="{48322A3D-7365-406C-9C2C-2C1F74A1A7E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C-BFD8-4F08-84E9-F3F5B0D68B05}"/>
                </c:ext>
              </c:extLst>
            </c:dLbl>
            <c:dLbl>
              <c:idx val="61"/>
              <c:tx>
                <c:rich>
                  <a:bodyPr/>
                  <a:lstStyle/>
                  <a:p>
                    <a:fld id="{93574999-C55A-4B6C-B62F-C51313FDA76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D-BFD8-4F08-84E9-F3F5B0D68B05}"/>
                </c:ext>
              </c:extLst>
            </c:dLbl>
            <c:dLbl>
              <c:idx val="62"/>
              <c:tx>
                <c:rich>
                  <a:bodyPr/>
                  <a:lstStyle/>
                  <a:p>
                    <a:fld id="{CE034C01-CFA4-49F9-ACAE-3F14A1A2CD8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E-BFD8-4F08-84E9-F3F5B0D68B05}"/>
                </c:ext>
              </c:extLst>
            </c:dLbl>
            <c:dLbl>
              <c:idx val="63"/>
              <c:tx>
                <c:rich>
                  <a:bodyPr/>
                  <a:lstStyle/>
                  <a:p>
                    <a:fld id="{5A321343-39E8-4DD6-ABEB-8B2AD530DE7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F-BFD8-4F08-84E9-F3F5B0D68B05}"/>
                </c:ext>
              </c:extLst>
            </c:dLbl>
            <c:dLbl>
              <c:idx val="64"/>
              <c:tx>
                <c:rich>
                  <a:bodyPr/>
                  <a:lstStyle/>
                  <a:p>
                    <a:fld id="{043CD6E9-037F-495C-83A3-E8F1A951248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0-BFD8-4F08-84E9-F3F5B0D68B05}"/>
                </c:ext>
              </c:extLst>
            </c:dLbl>
            <c:dLbl>
              <c:idx val="65"/>
              <c:tx>
                <c:rich>
                  <a:bodyPr/>
                  <a:lstStyle/>
                  <a:p>
                    <a:fld id="{C1A0F296-0D96-40E1-B5F8-DFC39928A1E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1-BFD8-4F08-84E9-F3F5B0D68B05}"/>
                </c:ext>
              </c:extLst>
            </c:dLbl>
            <c:dLbl>
              <c:idx val="66"/>
              <c:tx>
                <c:rich>
                  <a:bodyPr/>
                  <a:lstStyle/>
                  <a:p>
                    <a:fld id="{A059414C-5741-4A7A-A62E-5F5CA0229A6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2-BFD8-4F08-84E9-F3F5B0D68B05}"/>
                </c:ext>
              </c:extLst>
            </c:dLbl>
            <c:dLbl>
              <c:idx val="67"/>
              <c:tx>
                <c:rich>
                  <a:bodyPr/>
                  <a:lstStyle/>
                  <a:p>
                    <a:fld id="{A8667C0F-221B-414D-82CA-F39DEFFB036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3-BFD8-4F08-84E9-F3F5B0D68B05}"/>
                </c:ext>
              </c:extLst>
            </c:dLbl>
            <c:dLbl>
              <c:idx val="68"/>
              <c:tx>
                <c:rich>
                  <a:bodyPr/>
                  <a:lstStyle/>
                  <a:p>
                    <a:fld id="{E9807013-B75C-4C99-8D5C-BAE149BD230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4-BFD8-4F08-84E9-F3F5B0D68B05}"/>
                </c:ext>
              </c:extLst>
            </c:dLbl>
            <c:dLbl>
              <c:idx val="69"/>
              <c:tx>
                <c:rich>
                  <a:bodyPr/>
                  <a:lstStyle/>
                  <a:p>
                    <a:fld id="{DF5FA776-D7C5-42BA-9DDC-72BBF5E3B95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5-BFD8-4F08-84E9-F3F5B0D68B05}"/>
                </c:ext>
              </c:extLst>
            </c:dLbl>
            <c:dLbl>
              <c:idx val="70"/>
              <c:tx>
                <c:rich>
                  <a:bodyPr/>
                  <a:lstStyle/>
                  <a:p>
                    <a:fld id="{2909B02B-E379-4184-A815-F65C278B5BB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6-BFD8-4F08-84E9-F3F5B0D68B05}"/>
                </c:ext>
              </c:extLst>
            </c:dLbl>
            <c:dLbl>
              <c:idx val="71"/>
              <c:tx>
                <c:rich>
                  <a:bodyPr/>
                  <a:lstStyle/>
                  <a:p>
                    <a:fld id="{9100AAF4-188C-4DFC-97CE-42670893E8D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7-BFD8-4F08-84E9-F3F5B0D68B05}"/>
                </c:ext>
              </c:extLst>
            </c:dLbl>
            <c:dLbl>
              <c:idx val="72"/>
              <c:tx>
                <c:rich>
                  <a:bodyPr/>
                  <a:lstStyle/>
                  <a:p>
                    <a:fld id="{33B504DC-AE08-4132-8C7D-43C2F1CA06A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8-BFD8-4F08-84E9-F3F5B0D68B05}"/>
                </c:ext>
              </c:extLst>
            </c:dLbl>
            <c:dLbl>
              <c:idx val="73"/>
              <c:tx>
                <c:rich>
                  <a:bodyPr/>
                  <a:lstStyle/>
                  <a:p>
                    <a:fld id="{8C76E94D-2524-4BC9-B365-408BA7F12D0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9-BFD8-4F08-84E9-F3F5B0D68B05}"/>
                </c:ext>
              </c:extLst>
            </c:dLbl>
            <c:dLbl>
              <c:idx val="74"/>
              <c:tx>
                <c:rich>
                  <a:bodyPr/>
                  <a:lstStyle/>
                  <a:p>
                    <a:fld id="{7768BC97-1C26-44AF-9BFE-97A5980190C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A-BFD8-4F08-84E9-F3F5B0D68B05}"/>
                </c:ext>
              </c:extLst>
            </c:dLbl>
            <c:dLbl>
              <c:idx val="75"/>
              <c:tx>
                <c:rich>
                  <a:bodyPr/>
                  <a:lstStyle/>
                  <a:p>
                    <a:fld id="{8FFDF351-27FF-42B1-96E1-9993ACE3186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B-BFD8-4F08-84E9-F3F5B0D68B05}"/>
                </c:ext>
              </c:extLst>
            </c:dLbl>
            <c:dLbl>
              <c:idx val="76"/>
              <c:tx>
                <c:rich>
                  <a:bodyPr/>
                  <a:lstStyle/>
                  <a:p>
                    <a:fld id="{57154E0A-D4DB-4163-B66D-FABE14E18BB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C-BFD8-4F08-84E9-F3F5B0D68B05}"/>
                </c:ext>
              </c:extLst>
            </c:dLbl>
            <c:dLbl>
              <c:idx val="77"/>
              <c:tx>
                <c:rich>
                  <a:bodyPr/>
                  <a:lstStyle/>
                  <a:p>
                    <a:fld id="{622D4DF6-349F-4E3C-AFEF-176B5E230B6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D-BFD8-4F08-84E9-F3F5B0D68B05}"/>
                </c:ext>
              </c:extLst>
            </c:dLbl>
            <c:dLbl>
              <c:idx val="78"/>
              <c:tx>
                <c:rich>
                  <a:bodyPr/>
                  <a:lstStyle/>
                  <a:p>
                    <a:fld id="{3D002161-B4CC-4C21-9D20-15E0CFC718B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E-BFD8-4F08-84E9-F3F5B0D68B0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trendline>
            <c:spPr>
              <a:ln w="19050" cap="rnd">
                <a:solidFill>
                  <a:schemeClr val="accent1"/>
                </a:solidFill>
                <a:prstDash val="sysDot"/>
              </a:ln>
              <a:effectLst/>
            </c:spPr>
            <c:trendlineType val="linear"/>
            <c:dispRSqr val="1"/>
            <c:dispEq val="0"/>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trendlineLbl>
          </c:trendline>
          <c:xVal>
            <c:numRef>
              <c:f>Kool!$BJ$4:$BJ$82</c:f>
              <c:numCache>
                <c:formatCode>#,##0</c:formatCode>
                <c:ptCount val="79"/>
                <c:pt idx="0">
                  <c:v>433.80001617892322</c:v>
                </c:pt>
                <c:pt idx="1">
                  <c:v>553.66878266994047</c:v>
                </c:pt>
                <c:pt idx="2">
                  <c:v>497.32682746884393</c:v>
                </c:pt>
                <c:pt idx="3">
                  <c:v>563.09212138508371</c:v>
                </c:pt>
                <c:pt idx="4">
                  <c:v>435.0020322085889</c:v>
                </c:pt>
                <c:pt idx="5">
                  <c:v>462.60622571616727</c:v>
                </c:pt>
                <c:pt idx="6">
                  <c:v>465.9734016518812</c:v>
                </c:pt>
                <c:pt idx="7">
                  <c:v>529.28726087848918</c:v>
                </c:pt>
                <c:pt idx="8">
                  <c:v>686.33800867507887</c:v>
                </c:pt>
                <c:pt idx="9">
                  <c:v>418.04074375931441</c:v>
                </c:pt>
                <c:pt idx="10">
                  <c:v>573.20807168550891</c:v>
                </c:pt>
                <c:pt idx="11">
                  <c:v>508.42710342862159</c:v>
                </c:pt>
                <c:pt idx="12">
                  <c:v>521.13884666548427</c:v>
                </c:pt>
                <c:pt idx="13">
                  <c:v>501.0711868361762</c:v>
                </c:pt>
                <c:pt idx="14">
                  <c:v>544.11862672591189</c:v>
                </c:pt>
                <c:pt idx="15">
                  <c:v>701.01575359175933</c:v>
                </c:pt>
                <c:pt idx="16">
                  <c:v>675.99847453222435</c:v>
                </c:pt>
                <c:pt idx="17">
                  <c:v>518.86610579796786</c:v>
                </c:pt>
                <c:pt idx="18">
                  <c:v>532.4456681479129</c:v>
                </c:pt>
                <c:pt idx="19">
                  <c:v>1349.8259793814432</c:v>
                </c:pt>
                <c:pt idx="20">
                  <c:v>466.22630299896582</c:v>
                </c:pt>
                <c:pt idx="21">
                  <c:v>807.59429450072378</c:v>
                </c:pt>
                <c:pt idx="22">
                  <c:v>593.51173017824226</c:v>
                </c:pt>
                <c:pt idx="23">
                  <c:v>734.03530519480535</c:v>
                </c:pt>
                <c:pt idx="24">
                  <c:v>1080.6741692327489</c:v>
                </c:pt>
                <c:pt idx="25">
                  <c:v>446.81300287356322</c:v>
                </c:pt>
                <c:pt idx="26">
                  <c:v>619.7442486250402</c:v>
                </c:pt>
                <c:pt idx="27">
                  <c:v>558.32952610679115</c:v>
                </c:pt>
                <c:pt idx="28">
                  <c:v>509.70035844299446</c:v>
                </c:pt>
                <c:pt idx="29">
                  <c:v>484.34690780335399</c:v>
                </c:pt>
                <c:pt idx="30">
                  <c:v>750.14093061224492</c:v>
                </c:pt>
                <c:pt idx="31">
                  <c:v>518.42676957619983</c:v>
                </c:pt>
                <c:pt idx="32">
                  <c:v>1678.1053732468151</c:v>
                </c:pt>
                <c:pt idx="33">
                  <c:v>553.74979226655694</c:v>
                </c:pt>
                <c:pt idx="34">
                  <c:v>659.95859391395595</c:v>
                </c:pt>
                <c:pt idx="35">
                  <c:v>452.01865098871741</c:v>
                </c:pt>
                <c:pt idx="36">
                  <c:v>459.14619567533026</c:v>
                </c:pt>
                <c:pt idx="37">
                  <c:v>723.58416666666653</c:v>
                </c:pt>
                <c:pt idx="38">
                  <c:v>540.37320898540531</c:v>
                </c:pt>
                <c:pt idx="39">
                  <c:v>576.75106630757216</c:v>
                </c:pt>
                <c:pt idx="40">
                  <c:v>606.51479783393518</c:v>
                </c:pt>
                <c:pt idx="41">
                  <c:v>556.21755127046697</c:v>
                </c:pt>
                <c:pt idx="42">
                  <c:v>606.03536097212293</c:v>
                </c:pt>
                <c:pt idx="43">
                  <c:v>1102.9295882352942</c:v>
                </c:pt>
                <c:pt idx="44">
                  <c:v>703.13744304312456</c:v>
                </c:pt>
                <c:pt idx="45">
                  <c:v>426.29264518498263</c:v>
                </c:pt>
                <c:pt idx="46">
                  <c:v>545.24916169724372</c:v>
                </c:pt>
                <c:pt idx="47">
                  <c:v>673.81678449614583</c:v>
                </c:pt>
                <c:pt idx="48">
                  <c:v>746.16072008547019</c:v>
                </c:pt>
                <c:pt idx="49">
                  <c:v>646.77774680851076</c:v>
                </c:pt>
                <c:pt idx="50">
                  <c:v>695.13840487062373</c:v>
                </c:pt>
                <c:pt idx="51">
                  <c:v>547.45749374217769</c:v>
                </c:pt>
                <c:pt idx="52">
                  <c:v>638.00991221910112</c:v>
                </c:pt>
                <c:pt idx="53">
                  <c:v>428.06947638404949</c:v>
                </c:pt>
                <c:pt idx="54">
                  <c:v>545.80217696425132</c:v>
                </c:pt>
                <c:pt idx="55">
                  <c:v>577.86351041173691</c:v>
                </c:pt>
                <c:pt idx="56">
                  <c:v>762.28841731266141</c:v>
                </c:pt>
                <c:pt idx="57">
                  <c:v>2320.2331034482754</c:v>
                </c:pt>
                <c:pt idx="58">
                  <c:v>559.38886214500371</c:v>
                </c:pt>
                <c:pt idx="59">
                  <c:v>485.74254437955341</c:v>
                </c:pt>
                <c:pt idx="60">
                  <c:v>485.40858270418647</c:v>
                </c:pt>
                <c:pt idx="61">
                  <c:v>462.74045409181628</c:v>
                </c:pt>
                <c:pt idx="62">
                  <c:v>640.55967085522059</c:v>
                </c:pt>
                <c:pt idx="63">
                  <c:v>411.91937895125926</c:v>
                </c:pt>
                <c:pt idx="64">
                  <c:v>509.00050329308448</c:v>
                </c:pt>
                <c:pt idx="65">
                  <c:v>499.09690264215971</c:v>
                </c:pt>
                <c:pt idx="66">
                  <c:v>684.0742600964436</c:v>
                </c:pt>
                <c:pt idx="67">
                  <c:v>591.61935946220183</c:v>
                </c:pt>
                <c:pt idx="68">
                  <c:v>378.66171856465007</c:v>
                </c:pt>
                <c:pt idx="69">
                  <c:v>686.4222473449812</c:v>
                </c:pt>
                <c:pt idx="70">
                  <c:v>644.82276131045239</c:v>
                </c:pt>
                <c:pt idx="71">
                  <c:v>576.29963609898118</c:v>
                </c:pt>
                <c:pt idx="72">
                  <c:v>473.52791441319647</c:v>
                </c:pt>
                <c:pt idx="73">
                  <c:v>511.13777585210863</c:v>
                </c:pt>
                <c:pt idx="74">
                  <c:v>648.54164634146343</c:v>
                </c:pt>
                <c:pt idx="75">
                  <c:v>699.36899082568789</c:v>
                </c:pt>
                <c:pt idx="76">
                  <c:v>424.07054710144916</c:v>
                </c:pt>
                <c:pt idx="77">
                  <c:v>568.20462602614782</c:v>
                </c:pt>
                <c:pt idx="78">
                  <c:v>718.25344020172918</c:v>
                </c:pt>
              </c:numCache>
            </c:numRef>
          </c:xVal>
          <c:yVal>
            <c:numRef>
              <c:f>Kool!$BY$4:$BY$82</c:f>
              <c:numCache>
                <c:formatCode>#,##0</c:formatCode>
                <c:ptCount val="79"/>
                <c:pt idx="0">
                  <c:v>21.427306047648138</c:v>
                </c:pt>
                <c:pt idx="1">
                  <c:v>13.105263157894736</c:v>
                </c:pt>
                <c:pt idx="2">
                  <c:v>18.748447204968944</c:v>
                </c:pt>
                <c:pt idx="3">
                  <c:v>15.458823529411763</c:v>
                </c:pt>
                <c:pt idx="4">
                  <c:v>18.43109540636042</c:v>
                </c:pt>
                <c:pt idx="5">
                  <c:v>19.593548387096774</c:v>
                </c:pt>
                <c:pt idx="6">
                  <c:v>14.659192825112109</c:v>
                </c:pt>
                <c:pt idx="7">
                  <c:v>15.496774193548386</c:v>
                </c:pt>
                <c:pt idx="8">
                  <c:v>9.7538461538461547</c:v>
                </c:pt>
                <c:pt idx="9">
                  <c:v>15.163841807909606</c:v>
                </c:pt>
                <c:pt idx="10">
                  <c:v>13.148648648648649</c:v>
                </c:pt>
                <c:pt idx="11">
                  <c:v>17.174698795180724</c:v>
                </c:pt>
                <c:pt idx="12">
                  <c:v>19.176870748299319</c:v>
                </c:pt>
                <c:pt idx="13">
                  <c:v>16.126297577854672</c:v>
                </c:pt>
                <c:pt idx="14">
                  <c:v>16.853608247422681</c:v>
                </c:pt>
                <c:pt idx="15">
                  <c:v>11.315950920245397</c:v>
                </c:pt>
                <c:pt idx="16">
                  <c:v>8.6666666666666679</c:v>
                </c:pt>
                <c:pt idx="17">
                  <c:v>16.646766169154226</c:v>
                </c:pt>
                <c:pt idx="18">
                  <c:v>14.721962616822433</c:v>
                </c:pt>
                <c:pt idx="19">
                  <c:v>7.185185185185186</c:v>
                </c:pt>
                <c:pt idx="20">
                  <c:v>14.691988950276246</c:v>
                </c:pt>
                <c:pt idx="21">
                  <c:v>9.5972222222222214</c:v>
                </c:pt>
                <c:pt idx="22">
                  <c:v>15.950980392156861</c:v>
                </c:pt>
                <c:pt idx="23">
                  <c:v>15.000000000000002</c:v>
                </c:pt>
                <c:pt idx="24">
                  <c:v>8.014705882352942</c:v>
                </c:pt>
                <c:pt idx="25">
                  <c:v>15.091836734693878</c:v>
                </c:pt>
                <c:pt idx="26">
                  <c:v>12.265873015873016</c:v>
                </c:pt>
                <c:pt idx="27">
                  <c:v>9.7439446366782008</c:v>
                </c:pt>
                <c:pt idx="28">
                  <c:v>13.938931297709926</c:v>
                </c:pt>
                <c:pt idx="29">
                  <c:v>12.177966101694917</c:v>
                </c:pt>
                <c:pt idx="30">
                  <c:v>9.2803030303030312</c:v>
                </c:pt>
                <c:pt idx="31">
                  <c:v>16.806603773584907</c:v>
                </c:pt>
                <c:pt idx="32">
                  <c:v>3.1666666666666665</c:v>
                </c:pt>
                <c:pt idx="33">
                  <c:v>10.433476394849786</c:v>
                </c:pt>
                <c:pt idx="34">
                  <c:v>11.481927710843376</c:v>
                </c:pt>
                <c:pt idx="35">
                  <c:v>16.405172413793107</c:v>
                </c:pt>
                <c:pt idx="36">
                  <c:v>16.075342465753423</c:v>
                </c:pt>
                <c:pt idx="37">
                  <c:v>9.8015267175572518</c:v>
                </c:pt>
                <c:pt idx="38">
                  <c:v>12.3574144486692</c:v>
                </c:pt>
                <c:pt idx="39">
                  <c:v>12.987261146496815</c:v>
                </c:pt>
                <c:pt idx="40">
                  <c:v>11.446280991735536</c:v>
                </c:pt>
                <c:pt idx="41">
                  <c:v>12.657718120805372</c:v>
                </c:pt>
                <c:pt idx="42">
                  <c:v>12.165217391304347</c:v>
                </c:pt>
                <c:pt idx="43">
                  <c:v>4.9999999999999991</c:v>
                </c:pt>
                <c:pt idx="44">
                  <c:v>11.817307692307692</c:v>
                </c:pt>
                <c:pt idx="45">
                  <c:v>17.268537074148295</c:v>
                </c:pt>
                <c:pt idx="46">
                  <c:v>14.455752212389381</c:v>
                </c:pt>
                <c:pt idx="47">
                  <c:v>9.0924369747899174</c:v>
                </c:pt>
                <c:pt idx="48">
                  <c:v>10</c:v>
                </c:pt>
                <c:pt idx="49">
                  <c:v>10.307017543859649</c:v>
                </c:pt>
                <c:pt idx="50">
                  <c:v>12.033088235294118</c:v>
                </c:pt>
                <c:pt idx="51">
                  <c:v>12.618644067796611</c:v>
                </c:pt>
                <c:pt idx="52">
                  <c:v>13.825242718446601</c:v>
                </c:pt>
                <c:pt idx="53">
                  <c:v>14.192307692307692</c:v>
                </c:pt>
                <c:pt idx="54">
                  <c:v>11.340314136125654</c:v>
                </c:pt>
                <c:pt idx="55">
                  <c:v>13.08359133126935</c:v>
                </c:pt>
                <c:pt idx="56">
                  <c:v>14.333333333333334</c:v>
                </c:pt>
                <c:pt idx="57">
                  <c:v>1.5263157894736843</c:v>
                </c:pt>
                <c:pt idx="58">
                  <c:v>13.546874999999998</c:v>
                </c:pt>
                <c:pt idx="59">
                  <c:v>17.890034364261169</c:v>
                </c:pt>
                <c:pt idx="60">
                  <c:v>17.987654320987655</c:v>
                </c:pt>
                <c:pt idx="61">
                  <c:v>18.108433734939762</c:v>
                </c:pt>
                <c:pt idx="62">
                  <c:v>11.481132075471697</c:v>
                </c:pt>
                <c:pt idx="63">
                  <c:v>18.599146110056928</c:v>
                </c:pt>
                <c:pt idx="64">
                  <c:v>15.815972222222223</c:v>
                </c:pt>
                <c:pt idx="65">
                  <c:v>15.779456193353475</c:v>
                </c:pt>
                <c:pt idx="66">
                  <c:v>16.106796116504853</c:v>
                </c:pt>
                <c:pt idx="67">
                  <c:v>12.967105263157894</c:v>
                </c:pt>
                <c:pt idx="68">
                  <c:v>20.623853211009173</c:v>
                </c:pt>
                <c:pt idx="69">
                  <c:v>11.015094339622641</c:v>
                </c:pt>
                <c:pt idx="70">
                  <c:v>10.683333333333334</c:v>
                </c:pt>
                <c:pt idx="71">
                  <c:v>13.649006622516557</c:v>
                </c:pt>
                <c:pt idx="72">
                  <c:v>12.493243243243242</c:v>
                </c:pt>
                <c:pt idx="73">
                  <c:v>12.917910447761193</c:v>
                </c:pt>
                <c:pt idx="74">
                  <c:v>13.211111111111112</c:v>
                </c:pt>
                <c:pt idx="75">
                  <c:v>8.1750000000000007</c:v>
                </c:pt>
                <c:pt idx="76">
                  <c:v>16.507177033492823</c:v>
                </c:pt>
                <c:pt idx="77">
                  <c:v>15.375586854460096</c:v>
                </c:pt>
                <c:pt idx="78">
                  <c:v>14.458333333333332</c:v>
                </c:pt>
              </c:numCache>
            </c:numRef>
          </c:yVal>
          <c:smooth val="0"/>
          <c:extLst>
            <c:ext xmlns:c15="http://schemas.microsoft.com/office/drawing/2012/chart" uri="{02D57815-91ED-43cb-92C2-25804820EDAC}">
              <c15:datalabelsRange>
                <c15:f>Alusharidus!$A$4:$A$82</c15:f>
                <c15:dlblRangeCache>
                  <c:ptCount val="79"/>
                  <c:pt idx="0">
                    <c:v>Tallinna linn</c:v>
                  </c:pt>
                  <c:pt idx="1">
                    <c:v>Anija vald</c:v>
                  </c:pt>
                  <c:pt idx="2">
                    <c:v>Harku vald</c:v>
                  </c:pt>
                  <c:pt idx="3">
                    <c:v>Jõelähtme vald</c:v>
                  </c:pt>
                  <c:pt idx="4">
                    <c:v>Keila linn</c:v>
                  </c:pt>
                  <c:pt idx="5">
                    <c:v>Kiili vald</c:v>
                  </c:pt>
                  <c:pt idx="6">
                    <c:v>Kose vald</c:v>
                  </c:pt>
                  <c:pt idx="7">
                    <c:v>Kuusalu vald</c:v>
                  </c:pt>
                  <c:pt idx="8">
                    <c:v>Loksa linn</c:v>
                  </c:pt>
                  <c:pt idx="9">
                    <c:v>Maardu linn</c:v>
                  </c:pt>
                  <c:pt idx="10">
                    <c:v>Raasiku vald</c:v>
                  </c:pt>
                  <c:pt idx="11">
                    <c:v>Rae vald</c:v>
                  </c:pt>
                  <c:pt idx="12">
                    <c:v>Saku vald</c:v>
                  </c:pt>
                  <c:pt idx="13">
                    <c:v>Saue vald</c:v>
                  </c:pt>
                  <c:pt idx="14">
                    <c:v>Viimsi vald</c:v>
                  </c:pt>
                  <c:pt idx="15">
                    <c:v>Lääne-Harju vald</c:v>
                  </c:pt>
                  <c:pt idx="16">
                    <c:v>Hiiumaa vald</c:v>
                  </c:pt>
                  <c:pt idx="17">
                    <c:v>Jõhvi vald</c:v>
                  </c:pt>
                  <c:pt idx="18">
                    <c:v>Kohtla-Järve linn</c:v>
                  </c:pt>
                  <c:pt idx="19">
                    <c:v>Lüganuse vald</c:v>
                  </c:pt>
                  <c:pt idx="20">
                    <c:v>Narva linn</c:v>
                  </c:pt>
                  <c:pt idx="21">
                    <c:v>Narva-Jõesuu linn</c:v>
                  </c:pt>
                  <c:pt idx="22">
                    <c:v>Sillamäe linn</c:v>
                  </c:pt>
                  <c:pt idx="23">
                    <c:v>Toila vald</c:v>
                  </c:pt>
                  <c:pt idx="24">
                    <c:v>Alutaguse vald</c:v>
                  </c:pt>
                  <c:pt idx="25">
                    <c:v>Paide linn</c:v>
                  </c:pt>
                  <c:pt idx="26">
                    <c:v>Türi vald</c:v>
                  </c:pt>
                  <c:pt idx="27">
                    <c:v>Järva vald</c:v>
                  </c:pt>
                  <c:pt idx="28">
                    <c:v>Jõgeva vald</c:v>
                  </c:pt>
                  <c:pt idx="29">
                    <c:v>Põltsamaa vald</c:v>
                  </c:pt>
                  <c:pt idx="30">
                    <c:v>Mustvee vald</c:v>
                  </c:pt>
                  <c:pt idx="31">
                    <c:v>Haapsalu linn</c:v>
                  </c:pt>
                  <c:pt idx="32">
                    <c:v>Vormsi vald</c:v>
                  </c:pt>
                  <c:pt idx="33">
                    <c:v>Lääne-Nigula vald</c:v>
                  </c:pt>
                  <c:pt idx="34">
                    <c:v>Haljala vald</c:v>
                  </c:pt>
                  <c:pt idx="35">
                    <c:v>Kadrina vald</c:v>
                  </c:pt>
                  <c:pt idx="36">
                    <c:v>Rakvere linn</c:v>
                  </c:pt>
                  <c:pt idx="37">
                    <c:v>Rakvere vald</c:v>
                  </c:pt>
                  <c:pt idx="38">
                    <c:v>Tapa vald</c:v>
                  </c:pt>
                  <c:pt idx="39">
                    <c:v>Vinni vald</c:v>
                  </c:pt>
                  <c:pt idx="40">
                    <c:v>Viru-Nigula vald</c:v>
                  </c:pt>
                  <c:pt idx="41">
                    <c:v>Väike-Maarja vald</c:v>
                  </c:pt>
                  <c:pt idx="42">
                    <c:v>Häädemeeste vald</c:v>
                  </c:pt>
                  <c:pt idx="43">
                    <c:v>Kihnu vald</c:v>
                  </c:pt>
                  <c:pt idx="44">
                    <c:v>Saarde vald</c:v>
                  </c:pt>
                  <c:pt idx="45">
                    <c:v>Pärnu linn</c:v>
                  </c:pt>
                  <c:pt idx="46">
                    <c:v>Tori vald</c:v>
                  </c:pt>
                  <c:pt idx="47">
                    <c:v>Põhja-Pärnumaa vald</c:v>
                  </c:pt>
                  <c:pt idx="48">
                    <c:v>Lääneranna vald</c:v>
                  </c:pt>
                  <c:pt idx="49">
                    <c:v>Kanepi vald</c:v>
                  </c:pt>
                  <c:pt idx="50">
                    <c:v>Põlva vald</c:v>
                  </c:pt>
                  <c:pt idx="51">
                    <c:v>Räpina vald</c:v>
                  </c:pt>
                  <c:pt idx="52">
                    <c:v>Kehtna vald</c:v>
                  </c:pt>
                  <c:pt idx="53">
                    <c:v>Kohila vald</c:v>
                  </c:pt>
                  <c:pt idx="54">
                    <c:v>Märjamaa vald</c:v>
                  </c:pt>
                  <c:pt idx="55">
                    <c:v>Rapla vald</c:v>
                  </c:pt>
                  <c:pt idx="56">
                    <c:v>Muhu vald</c:v>
                  </c:pt>
                  <c:pt idx="57">
                    <c:v>Ruhnu vald</c:v>
                  </c:pt>
                  <c:pt idx="58">
                    <c:v>Saaremaa vald</c:v>
                  </c:pt>
                  <c:pt idx="59">
                    <c:v>Kambja vald</c:v>
                  </c:pt>
                  <c:pt idx="60">
                    <c:v>Luunja vald</c:v>
                  </c:pt>
                  <c:pt idx="61">
                    <c:v>Nõo vald</c:v>
                  </c:pt>
                  <c:pt idx="62">
                    <c:v>Peipsiääre vald</c:v>
                  </c:pt>
                  <c:pt idx="63">
                    <c:v>Tartu linn</c:v>
                  </c:pt>
                  <c:pt idx="64">
                    <c:v>Tartu vald</c:v>
                  </c:pt>
                  <c:pt idx="65">
                    <c:v>Elva vald</c:v>
                  </c:pt>
                  <c:pt idx="66">
                    <c:v>Kastre vald</c:v>
                  </c:pt>
                  <c:pt idx="67">
                    <c:v>Mulgi vald</c:v>
                  </c:pt>
                  <c:pt idx="68">
                    <c:v>Viljandi linn</c:v>
                  </c:pt>
                  <c:pt idx="69">
                    <c:v>Viljandi vald</c:v>
                  </c:pt>
                  <c:pt idx="70">
                    <c:v>Põhja-Sakala vald</c:v>
                  </c:pt>
                  <c:pt idx="71">
                    <c:v>Otepää vald</c:v>
                  </c:pt>
                  <c:pt idx="72">
                    <c:v>Valga vald</c:v>
                  </c:pt>
                  <c:pt idx="73">
                    <c:v>Tõrva vald</c:v>
                  </c:pt>
                  <c:pt idx="74">
                    <c:v>Antsla vald</c:v>
                  </c:pt>
                  <c:pt idx="75">
                    <c:v>Rõuge vald</c:v>
                  </c:pt>
                  <c:pt idx="76">
                    <c:v>Võru linn</c:v>
                  </c:pt>
                  <c:pt idx="77">
                    <c:v>Võru vald</c:v>
                  </c:pt>
                  <c:pt idx="78">
                    <c:v>Setomaa vald</c:v>
                  </c:pt>
                </c15:dlblRangeCache>
              </c15:datalabelsRange>
            </c:ext>
            <c:ext xmlns:c16="http://schemas.microsoft.com/office/drawing/2014/chart" uri="{C3380CC4-5D6E-409C-BE32-E72D297353CC}">
              <c16:uniqueId val="{00000050-BFD8-4F08-84E9-F3F5B0D68B05}"/>
            </c:ext>
          </c:extLst>
        </c:ser>
        <c:dLbls>
          <c:showLegendKey val="0"/>
          <c:showVal val="0"/>
          <c:showCatName val="0"/>
          <c:showSerName val="0"/>
          <c:showPercent val="0"/>
          <c:showBubbleSize val="0"/>
        </c:dLbls>
        <c:axId val="1328638975"/>
        <c:axId val="997580256"/>
      </c:scatterChart>
      <c:valAx>
        <c:axId val="1328638975"/>
        <c:scaling>
          <c:orientation val="minMax"/>
          <c:max val="1500"/>
          <c:min val="30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Kulu lapse kohta kuus</a:t>
                </a:r>
                <a:r>
                  <a:rPr lang="et-EE"/>
                  <a:t> (eurot)</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997580256"/>
        <c:crosses val="autoZero"/>
        <c:crossBetween val="midCat"/>
      </c:valAx>
      <c:valAx>
        <c:axId val="997580256"/>
        <c:scaling>
          <c:orientation val="minMax"/>
          <c:min val="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t-EE"/>
                  <a:t>Klassi</a:t>
                </a:r>
                <a:r>
                  <a:rPr lang="et-EE" baseline="0"/>
                  <a:t> täitumus</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328638975"/>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t-EE"/>
              <a:t>KOV</a:t>
            </a:r>
            <a:r>
              <a:rPr lang="et-EE" baseline="0"/>
              <a:t> kaetav osa kooli</a:t>
            </a:r>
            <a:r>
              <a:rPr lang="et-EE"/>
              <a:t>koha maksumusest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t-EE"/>
        </a:p>
      </c:txPr>
    </c:title>
    <c:autoTitleDeleted val="0"/>
    <c:plotArea>
      <c:layout/>
      <c:scatterChart>
        <c:scatterStyle val="lineMarker"/>
        <c:varyColors val="0"/>
        <c:ser>
          <c:idx val="0"/>
          <c:order val="0"/>
          <c:spPr>
            <a:ln w="28575" cap="rnd">
              <a:noFill/>
              <a:round/>
            </a:ln>
            <a:effectLst/>
          </c:spPr>
          <c:marker>
            <c:symbol val="circle"/>
            <c:size val="5"/>
            <c:spPr>
              <a:solidFill>
                <a:schemeClr val="accent1"/>
              </a:solidFill>
              <a:ln w="9525">
                <a:solidFill>
                  <a:schemeClr val="accent1"/>
                </a:solidFill>
              </a:ln>
              <a:effectLst/>
            </c:spPr>
          </c:marker>
          <c:dLbls>
            <c:dLbl>
              <c:idx val="0"/>
              <c:tx>
                <c:rich>
                  <a:bodyPr/>
                  <a:lstStyle/>
                  <a:p>
                    <a:fld id="{12B162F8-A947-4121-80B0-F272C2C2CAB3}"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81F2-41C3-BC3B-1663AAF59C43}"/>
                </c:ext>
              </c:extLst>
            </c:dLbl>
            <c:dLbl>
              <c:idx val="1"/>
              <c:tx>
                <c:rich>
                  <a:bodyPr/>
                  <a:lstStyle/>
                  <a:p>
                    <a:fld id="{629FEBD0-36EE-476E-9DC5-B49A37A7D45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81F2-41C3-BC3B-1663AAF59C43}"/>
                </c:ext>
              </c:extLst>
            </c:dLbl>
            <c:dLbl>
              <c:idx val="2"/>
              <c:tx>
                <c:rich>
                  <a:bodyPr/>
                  <a:lstStyle/>
                  <a:p>
                    <a:fld id="{13C3ABC9-97CA-4E9A-A16A-9F76108A9AD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81F2-41C3-BC3B-1663AAF59C43}"/>
                </c:ext>
              </c:extLst>
            </c:dLbl>
            <c:dLbl>
              <c:idx val="3"/>
              <c:tx>
                <c:rich>
                  <a:bodyPr/>
                  <a:lstStyle/>
                  <a:p>
                    <a:fld id="{82ABA36E-54FE-42A0-B140-FA82D989B0B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81F2-41C3-BC3B-1663AAF59C43}"/>
                </c:ext>
              </c:extLst>
            </c:dLbl>
            <c:dLbl>
              <c:idx val="4"/>
              <c:tx>
                <c:rich>
                  <a:bodyPr/>
                  <a:lstStyle/>
                  <a:p>
                    <a:fld id="{008E1DE8-D11E-4B3D-BD95-8AD2699FDC5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81F2-41C3-BC3B-1663AAF59C43}"/>
                </c:ext>
              </c:extLst>
            </c:dLbl>
            <c:dLbl>
              <c:idx val="5"/>
              <c:tx>
                <c:rich>
                  <a:bodyPr/>
                  <a:lstStyle/>
                  <a:p>
                    <a:fld id="{CE2A61C9-03B1-4E84-8704-8D4AD3A6D8E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81F2-41C3-BC3B-1663AAF59C43}"/>
                </c:ext>
              </c:extLst>
            </c:dLbl>
            <c:dLbl>
              <c:idx val="6"/>
              <c:tx>
                <c:rich>
                  <a:bodyPr/>
                  <a:lstStyle/>
                  <a:p>
                    <a:fld id="{4F288ECB-7BBF-49E5-8A81-89BB6CD95AF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81F2-41C3-BC3B-1663AAF59C43}"/>
                </c:ext>
              </c:extLst>
            </c:dLbl>
            <c:dLbl>
              <c:idx val="7"/>
              <c:tx>
                <c:rich>
                  <a:bodyPr/>
                  <a:lstStyle/>
                  <a:p>
                    <a:fld id="{AAE20FD3-73CF-4DA2-9A8A-D08F873CBF4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81F2-41C3-BC3B-1663AAF59C43}"/>
                </c:ext>
              </c:extLst>
            </c:dLbl>
            <c:dLbl>
              <c:idx val="8"/>
              <c:tx>
                <c:rich>
                  <a:bodyPr/>
                  <a:lstStyle/>
                  <a:p>
                    <a:fld id="{A929E013-2598-475D-9D42-8C8239D1021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81F2-41C3-BC3B-1663AAF59C43}"/>
                </c:ext>
              </c:extLst>
            </c:dLbl>
            <c:dLbl>
              <c:idx val="9"/>
              <c:tx>
                <c:rich>
                  <a:bodyPr/>
                  <a:lstStyle/>
                  <a:p>
                    <a:fld id="{0F773793-E9CE-4FD5-8110-EC1801BC630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81F2-41C3-BC3B-1663AAF59C43}"/>
                </c:ext>
              </c:extLst>
            </c:dLbl>
            <c:dLbl>
              <c:idx val="10"/>
              <c:tx>
                <c:rich>
                  <a:bodyPr/>
                  <a:lstStyle/>
                  <a:p>
                    <a:fld id="{12E9B666-2DC5-45A2-B516-68E6DC65424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81F2-41C3-BC3B-1663AAF59C43}"/>
                </c:ext>
              </c:extLst>
            </c:dLbl>
            <c:dLbl>
              <c:idx val="11"/>
              <c:tx>
                <c:rich>
                  <a:bodyPr/>
                  <a:lstStyle/>
                  <a:p>
                    <a:fld id="{BECEE6AB-47A5-43CA-AA9F-FE8AB4ECAAB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81F2-41C3-BC3B-1663AAF59C43}"/>
                </c:ext>
              </c:extLst>
            </c:dLbl>
            <c:dLbl>
              <c:idx val="12"/>
              <c:tx>
                <c:rich>
                  <a:bodyPr/>
                  <a:lstStyle/>
                  <a:p>
                    <a:fld id="{DCC00416-860A-4D4B-A1C3-51A884D064A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81F2-41C3-BC3B-1663AAF59C43}"/>
                </c:ext>
              </c:extLst>
            </c:dLbl>
            <c:dLbl>
              <c:idx val="13"/>
              <c:tx>
                <c:rich>
                  <a:bodyPr/>
                  <a:lstStyle/>
                  <a:p>
                    <a:fld id="{6184CD14-5F17-43E7-A203-E501C03A4A1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81F2-41C3-BC3B-1663AAF59C43}"/>
                </c:ext>
              </c:extLst>
            </c:dLbl>
            <c:dLbl>
              <c:idx val="14"/>
              <c:tx>
                <c:rich>
                  <a:bodyPr/>
                  <a:lstStyle/>
                  <a:p>
                    <a:fld id="{90DA46B3-0BC6-4A5D-96FC-54E2772890B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81F2-41C3-BC3B-1663AAF59C43}"/>
                </c:ext>
              </c:extLst>
            </c:dLbl>
            <c:dLbl>
              <c:idx val="15"/>
              <c:tx>
                <c:rich>
                  <a:bodyPr/>
                  <a:lstStyle/>
                  <a:p>
                    <a:fld id="{2704EF58-F5EE-4FB2-B1EC-BC820D6B561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81F2-41C3-BC3B-1663AAF59C43}"/>
                </c:ext>
              </c:extLst>
            </c:dLbl>
            <c:dLbl>
              <c:idx val="16"/>
              <c:tx>
                <c:rich>
                  <a:bodyPr/>
                  <a:lstStyle/>
                  <a:p>
                    <a:fld id="{654DE6C9-D393-445C-981D-835B973EBAC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81F2-41C3-BC3B-1663AAF59C43}"/>
                </c:ext>
              </c:extLst>
            </c:dLbl>
            <c:dLbl>
              <c:idx val="17"/>
              <c:tx>
                <c:rich>
                  <a:bodyPr/>
                  <a:lstStyle/>
                  <a:p>
                    <a:fld id="{B67C0076-4299-4714-8AE6-3F462D07AAF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81F2-41C3-BC3B-1663AAF59C43}"/>
                </c:ext>
              </c:extLst>
            </c:dLbl>
            <c:dLbl>
              <c:idx val="18"/>
              <c:tx>
                <c:rich>
                  <a:bodyPr/>
                  <a:lstStyle/>
                  <a:p>
                    <a:fld id="{0D7EBE9D-870C-4B95-A1E7-DBD742CA2E6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81F2-41C3-BC3B-1663AAF59C43}"/>
                </c:ext>
              </c:extLst>
            </c:dLbl>
            <c:dLbl>
              <c:idx val="19"/>
              <c:tx>
                <c:rich>
                  <a:bodyPr/>
                  <a:lstStyle/>
                  <a:p>
                    <a:fld id="{7048502C-43DD-414B-B6BB-7C77CC347C1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81F2-41C3-BC3B-1663AAF59C43}"/>
                </c:ext>
              </c:extLst>
            </c:dLbl>
            <c:dLbl>
              <c:idx val="20"/>
              <c:tx>
                <c:rich>
                  <a:bodyPr/>
                  <a:lstStyle/>
                  <a:p>
                    <a:fld id="{25CE2A82-D390-4DA9-BE06-AB5BCF892E5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81F2-41C3-BC3B-1663AAF59C43}"/>
                </c:ext>
              </c:extLst>
            </c:dLbl>
            <c:dLbl>
              <c:idx val="21"/>
              <c:tx>
                <c:rich>
                  <a:bodyPr/>
                  <a:lstStyle/>
                  <a:p>
                    <a:fld id="{C4DDB8A6-3CBD-4775-98E0-66F038440EA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81F2-41C3-BC3B-1663AAF59C43}"/>
                </c:ext>
              </c:extLst>
            </c:dLbl>
            <c:dLbl>
              <c:idx val="22"/>
              <c:tx>
                <c:rich>
                  <a:bodyPr/>
                  <a:lstStyle/>
                  <a:p>
                    <a:fld id="{864D1842-5B21-470C-9B8B-789F6F56B1F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81F2-41C3-BC3B-1663AAF59C43}"/>
                </c:ext>
              </c:extLst>
            </c:dLbl>
            <c:dLbl>
              <c:idx val="23"/>
              <c:tx>
                <c:rich>
                  <a:bodyPr/>
                  <a:lstStyle/>
                  <a:p>
                    <a:fld id="{D1BDEF99-3346-49DC-9A23-189F9167316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81F2-41C3-BC3B-1663AAF59C43}"/>
                </c:ext>
              </c:extLst>
            </c:dLbl>
            <c:dLbl>
              <c:idx val="24"/>
              <c:tx>
                <c:rich>
                  <a:bodyPr/>
                  <a:lstStyle/>
                  <a:p>
                    <a:fld id="{DC6761EA-C143-441E-ADE2-2109A034C4D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81F2-41C3-BC3B-1663AAF59C43}"/>
                </c:ext>
              </c:extLst>
            </c:dLbl>
            <c:dLbl>
              <c:idx val="25"/>
              <c:tx>
                <c:rich>
                  <a:bodyPr/>
                  <a:lstStyle/>
                  <a:p>
                    <a:fld id="{BA8F5D3C-ADAD-42A2-9F99-488B66B5F27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81F2-41C3-BC3B-1663AAF59C43}"/>
                </c:ext>
              </c:extLst>
            </c:dLbl>
            <c:dLbl>
              <c:idx val="26"/>
              <c:tx>
                <c:rich>
                  <a:bodyPr/>
                  <a:lstStyle/>
                  <a:p>
                    <a:fld id="{E206BB49-6A1D-4112-A253-385283F5777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81F2-41C3-BC3B-1663AAF59C43}"/>
                </c:ext>
              </c:extLst>
            </c:dLbl>
            <c:dLbl>
              <c:idx val="27"/>
              <c:tx>
                <c:rich>
                  <a:bodyPr/>
                  <a:lstStyle/>
                  <a:p>
                    <a:fld id="{6D587D37-7E5B-416E-9DF0-67B3A8E7639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81F2-41C3-BC3B-1663AAF59C43}"/>
                </c:ext>
              </c:extLst>
            </c:dLbl>
            <c:dLbl>
              <c:idx val="28"/>
              <c:tx>
                <c:rich>
                  <a:bodyPr/>
                  <a:lstStyle/>
                  <a:p>
                    <a:fld id="{72E983FD-00E0-4345-9418-65D2184B3F0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81F2-41C3-BC3B-1663AAF59C43}"/>
                </c:ext>
              </c:extLst>
            </c:dLbl>
            <c:dLbl>
              <c:idx val="29"/>
              <c:tx>
                <c:rich>
                  <a:bodyPr/>
                  <a:lstStyle/>
                  <a:p>
                    <a:fld id="{C5CE7D4E-B917-416F-9264-6B6B41B35B6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81F2-41C3-BC3B-1663AAF59C43}"/>
                </c:ext>
              </c:extLst>
            </c:dLbl>
            <c:dLbl>
              <c:idx val="30"/>
              <c:tx>
                <c:rich>
                  <a:bodyPr/>
                  <a:lstStyle/>
                  <a:p>
                    <a:fld id="{4B58E753-EF9C-43B1-A01D-655A1542D71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81F2-41C3-BC3B-1663AAF59C43}"/>
                </c:ext>
              </c:extLst>
            </c:dLbl>
            <c:dLbl>
              <c:idx val="31"/>
              <c:tx>
                <c:rich>
                  <a:bodyPr/>
                  <a:lstStyle/>
                  <a:p>
                    <a:fld id="{8F5AEC2E-B40E-4A1F-8B64-66D119B6A3D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81F2-41C3-BC3B-1663AAF59C43}"/>
                </c:ext>
              </c:extLst>
            </c:dLbl>
            <c:dLbl>
              <c:idx val="32"/>
              <c:tx>
                <c:rich>
                  <a:bodyPr/>
                  <a:lstStyle/>
                  <a:p>
                    <a:fld id="{F8D9A733-26C7-40F0-A5F7-0735C78EBD3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81F2-41C3-BC3B-1663AAF59C43}"/>
                </c:ext>
              </c:extLst>
            </c:dLbl>
            <c:dLbl>
              <c:idx val="33"/>
              <c:tx>
                <c:rich>
                  <a:bodyPr/>
                  <a:lstStyle/>
                  <a:p>
                    <a:fld id="{827428AC-815E-4B1C-AC38-B0FA785C350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81F2-41C3-BC3B-1663AAF59C43}"/>
                </c:ext>
              </c:extLst>
            </c:dLbl>
            <c:dLbl>
              <c:idx val="34"/>
              <c:tx>
                <c:rich>
                  <a:bodyPr/>
                  <a:lstStyle/>
                  <a:p>
                    <a:fld id="{FEC5A8A1-A372-4794-AE11-F28696ECD01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81F2-41C3-BC3B-1663AAF59C43}"/>
                </c:ext>
              </c:extLst>
            </c:dLbl>
            <c:dLbl>
              <c:idx val="35"/>
              <c:tx>
                <c:rich>
                  <a:bodyPr/>
                  <a:lstStyle/>
                  <a:p>
                    <a:fld id="{D278CF64-EDEC-424B-9B54-6B8B9539069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3-81F2-41C3-BC3B-1663AAF59C43}"/>
                </c:ext>
              </c:extLst>
            </c:dLbl>
            <c:dLbl>
              <c:idx val="36"/>
              <c:tx>
                <c:rich>
                  <a:bodyPr/>
                  <a:lstStyle/>
                  <a:p>
                    <a:fld id="{718BD97F-6A5A-45EA-80F1-63E172713BF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4-81F2-41C3-BC3B-1663AAF59C43}"/>
                </c:ext>
              </c:extLst>
            </c:dLbl>
            <c:dLbl>
              <c:idx val="37"/>
              <c:tx>
                <c:rich>
                  <a:bodyPr/>
                  <a:lstStyle/>
                  <a:p>
                    <a:fld id="{53EBD234-1222-468B-962D-4661D26803C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5-81F2-41C3-BC3B-1663AAF59C43}"/>
                </c:ext>
              </c:extLst>
            </c:dLbl>
            <c:dLbl>
              <c:idx val="38"/>
              <c:tx>
                <c:rich>
                  <a:bodyPr/>
                  <a:lstStyle/>
                  <a:p>
                    <a:fld id="{9633A291-53A7-4CA1-8713-D067769A56A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6-81F2-41C3-BC3B-1663AAF59C43}"/>
                </c:ext>
              </c:extLst>
            </c:dLbl>
            <c:dLbl>
              <c:idx val="39"/>
              <c:tx>
                <c:rich>
                  <a:bodyPr/>
                  <a:lstStyle/>
                  <a:p>
                    <a:fld id="{46251626-CAE0-43D0-BC7B-160CB5EC868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7-81F2-41C3-BC3B-1663AAF59C43}"/>
                </c:ext>
              </c:extLst>
            </c:dLbl>
            <c:dLbl>
              <c:idx val="40"/>
              <c:tx>
                <c:rich>
                  <a:bodyPr/>
                  <a:lstStyle/>
                  <a:p>
                    <a:fld id="{6D508753-7B47-4F87-A18B-B630457D05B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8-81F2-41C3-BC3B-1663AAF59C43}"/>
                </c:ext>
              </c:extLst>
            </c:dLbl>
            <c:dLbl>
              <c:idx val="41"/>
              <c:tx>
                <c:rich>
                  <a:bodyPr/>
                  <a:lstStyle/>
                  <a:p>
                    <a:fld id="{E6D5F17B-D61A-4293-9C47-D5DA1FBBD4E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9-81F2-41C3-BC3B-1663AAF59C43}"/>
                </c:ext>
              </c:extLst>
            </c:dLbl>
            <c:dLbl>
              <c:idx val="42"/>
              <c:tx>
                <c:rich>
                  <a:bodyPr/>
                  <a:lstStyle/>
                  <a:p>
                    <a:fld id="{EE4FA576-5610-413A-87CD-BD0175DFD15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A-81F2-41C3-BC3B-1663AAF59C43}"/>
                </c:ext>
              </c:extLst>
            </c:dLbl>
            <c:dLbl>
              <c:idx val="43"/>
              <c:tx>
                <c:rich>
                  <a:bodyPr/>
                  <a:lstStyle/>
                  <a:p>
                    <a:fld id="{93B42BA9-9C4A-4B5A-9868-31AB98FC754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B-81F2-41C3-BC3B-1663AAF59C43}"/>
                </c:ext>
              </c:extLst>
            </c:dLbl>
            <c:dLbl>
              <c:idx val="44"/>
              <c:tx>
                <c:rich>
                  <a:bodyPr/>
                  <a:lstStyle/>
                  <a:p>
                    <a:fld id="{CB3B23C8-3C17-402D-BAC9-CB952286B63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C-81F2-41C3-BC3B-1663AAF59C43}"/>
                </c:ext>
              </c:extLst>
            </c:dLbl>
            <c:dLbl>
              <c:idx val="45"/>
              <c:tx>
                <c:rich>
                  <a:bodyPr/>
                  <a:lstStyle/>
                  <a:p>
                    <a:fld id="{AB65A6D5-256C-49B2-A87E-15C3025062A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D-81F2-41C3-BC3B-1663AAF59C43}"/>
                </c:ext>
              </c:extLst>
            </c:dLbl>
            <c:dLbl>
              <c:idx val="46"/>
              <c:tx>
                <c:rich>
                  <a:bodyPr/>
                  <a:lstStyle/>
                  <a:p>
                    <a:fld id="{400D2021-0772-4B62-888C-435AF723A39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E-81F2-41C3-BC3B-1663AAF59C43}"/>
                </c:ext>
              </c:extLst>
            </c:dLbl>
            <c:dLbl>
              <c:idx val="47"/>
              <c:tx>
                <c:rich>
                  <a:bodyPr/>
                  <a:lstStyle/>
                  <a:p>
                    <a:fld id="{68F0BBF9-98E9-4B74-A620-386C0DD01B0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F-81F2-41C3-BC3B-1663AAF59C43}"/>
                </c:ext>
              </c:extLst>
            </c:dLbl>
            <c:dLbl>
              <c:idx val="48"/>
              <c:tx>
                <c:rich>
                  <a:bodyPr/>
                  <a:lstStyle/>
                  <a:p>
                    <a:fld id="{7CCD4482-EA86-45CD-88A9-6041AA4661B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0-81F2-41C3-BC3B-1663AAF59C43}"/>
                </c:ext>
              </c:extLst>
            </c:dLbl>
            <c:dLbl>
              <c:idx val="49"/>
              <c:tx>
                <c:rich>
                  <a:bodyPr/>
                  <a:lstStyle/>
                  <a:p>
                    <a:fld id="{B4543DF4-0DBB-41D7-80BA-14104A7A6D6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1-81F2-41C3-BC3B-1663AAF59C43}"/>
                </c:ext>
              </c:extLst>
            </c:dLbl>
            <c:dLbl>
              <c:idx val="50"/>
              <c:tx>
                <c:rich>
                  <a:bodyPr/>
                  <a:lstStyle/>
                  <a:p>
                    <a:fld id="{CFC78156-2900-45E2-8A37-2679D614831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2-81F2-41C3-BC3B-1663AAF59C43}"/>
                </c:ext>
              </c:extLst>
            </c:dLbl>
            <c:dLbl>
              <c:idx val="51"/>
              <c:tx>
                <c:rich>
                  <a:bodyPr/>
                  <a:lstStyle/>
                  <a:p>
                    <a:fld id="{9C0F1099-87CB-4856-AF57-D360500C020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3-81F2-41C3-BC3B-1663AAF59C43}"/>
                </c:ext>
              </c:extLst>
            </c:dLbl>
            <c:dLbl>
              <c:idx val="52"/>
              <c:tx>
                <c:rich>
                  <a:bodyPr/>
                  <a:lstStyle/>
                  <a:p>
                    <a:fld id="{33DDC2D2-FC02-433E-8D34-2BC18509FAC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4-81F2-41C3-BC3B-1663AAF59C43}"/>
                </c:ext>
              </c:extLst>
            </c:dLbl>
            <c:dLbl>
              <c:idx val="53"/>
              <c:tx>
                <c:rich>
                  <a:bodyPr/>
                  <a:lstStyle/>
                  <a:p>
                    <a:fld id="{8EBB6F75-8A46-424A-90FD-A717329AFFF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5-81F2-41C3-BC3B-1663AAF59C43}"/>
                </c:ext>
              </c:extLst>
            </c:dLbl>
            <c:dLbl>
              <c:idx val="54"/>
              <c:tx>
                <c:rich>
                  <a:bodyPr/>
                  <a:lstStyle/>
                  <a:p>
                    <a:fld id="{25A4F253-59FF-4016-9E96-795AEA961ED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6-81F2-41C3-BC3B-1663AAF59C43}"/>
                </c:ext>
              </c:extLst>
            </c:dLbl>
            <c:dLbl>
              <c:idx val="55"/>
              <c:tx>
                <c:rich>
                  <a:bodyPr/>
                  <a:lstStyle/>
                  <a:p>
                    <a:fld id="{716D9F3B-638A-4EB4-AF72-50EE293F032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7-81F2-41C3-BC3B-1663AAF59C43}"/>
                </c:ext>
              </c:extLst>
            </c:dLbl>
            <c:dLbl>
              <c:idx val="56"/>
              <c:tx>
                <c:rich>
                  <a:bodyPr/>
                  <a:lstStyle/>
                  <a:p>
                    <a:fld id="{B0902535-2980-4378-AD44-45ECC17589B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8-81F2-41C3-BC3B-1663AAF59C43}"/>
                </c:ext>
              </c:extLst>
            </c:dLbl>
            <c:dLbl>
              <c:idx val="57"/>
              <c:tx>
                <c:rich>
                  <a:bodyPr/>
                  <a:lstStyle/>
                  <a:p>
                    <a:fld id="{4097D0E1-3E1A-45CE-A298-8BA45A7694C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9-81F2-41C3-BC3B-1663AAF59C43}"/>
                </c:ext>
              </c:extLst>
            </c:dLbl>
            <c:dLbl>
              <c:idx val="58"/>
              <c:tx>
                <c:rich>
                  <a:bodyPr/>
                  <a:lstStyle/>
                  <a:p>
                    <a:fld id="{9BE5D58E-D0A8-4A81-8827-114540D8373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A-81F2-41C3-BC3B-1663AAF59C43}"/>
                </c:ext>
              </c:extLst>
            </c:dLbl>
            <c:dLbl>
              <c:idx val="59"/>
              <c:tx>
                <c:rich>
                  <a:bodyPr/>
                  <a:lstStyle/>
                  <a:p>
                    <a:fld id="{3C5FDC21-8648-476F-A6CA-F24BE5F37F6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B-81F2-41C3-BC3B-1663AAF59C43}"/>
                </c:ext>
              </c:extLst>
            </c:dLbl>
            <c:dLbl>
              <c:idx val="60"/>
              <c:tx>
                <c:rich>
                  <a:bodyPr/>
                  <a:lstStyle/>
                  <a:p>
                    <a:fld id="{61F95AD6-8000-48A8-994D-E3A6773EF61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C-81F2-41C3-BC3B-1663AAF59C43}"/>
                </c:ext>
              </c:extLst>
            </c:dLbl>
            <c:dLbl>
              <c:idx val="61"/>
              <c:tx>
                <c:rich>
                  <a:bodyPr/>
                  <a:lstStyle/>
                  <a:p>
                    <a:fld id="{7C1A0AF3-E489-4F03-9596-9F5468B21AF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D-81F2-41C3-BC3B-1663AAF59C43}"/>
                </c:ext>
              </c:extLst>
            </c:dLbl>
            <c:dLbl>
              <c:idx val="62"/>
              <c:tx>
                <c:rich>
                  <a:bodyPr/>
                  <a:lstStyle/>
                  <a:p>
                    <a:fld id="{E820562C-E991-4789-AC33-48E2E10F92F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E-81F2-41C3-BC3B-1663AAF59C43}"/>
                </c:ext>
              </c:extLst>
            </c:dLbl>
            <c:dLbl>
              <c:idx val="63"/>
              <c:tx>
                <c:rich>
                  <a:bodyPr/>
                  <a:lstStyle/>
                  <a:p>
                    <a:fld id="{73166080-F4D7-4DCC-AE73-31AACBB4A8A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F-81F2-41C3-BC3B-1663AAF59C43}"/>
                </c:ext>
              </c:extLst>
            </c:dLbl>
            <c:dLbl>
              <c:idx val="64"/>
              <c:tx>
                <c:rich>
                  <a:bodyPr/>
                  <a:lstStyle/>
                  <a:p>
                    <a:fld id="{853F9328-5E8F-4BE9-8623-93F3201977B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0-81F2-41C3-BC3B-1663AAF59C43}"/>
                </c:ext>
              </c:extLst>
            </c:dLbl>
            <c:dLbl>
              <c:idx val="65"/>
              <c:tx>
                <c:rich>
                  <a:bodyPr/>
                  <a:lstStyle/>
                  <a:p>
                    <a:fld id="{8802E0FA-0013-4DD0-898A-52316C881BC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1-81F2-41C3-BC3B-1663AAF59C43}"/>
                </c:ext>
              </c:extLst>
            </c:dLbl>
            <c:dLbl>
              <c:idx val="66"/>
              <c:tx>
                <c:rich>
                  <a:bodyPr/>
                  <a:lstStyle/>
                  <a:p>
                    <a:fld id="{C6295507-69D9-48C4-B53C-C8E45A23FD1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2-81F2-41C3-BC3B-1663AAF59C43}"/>
                </c:ext>
              </c:extLst>
            </c:dLbl>
            <c:dLbl>
              <c:idx val="67"/>
              <c:tx>
                <c:rich>
                  <a:bodyPr/>
                  <a:lstStyle/>
                  <a:p>
                    <a:fld id="{7861C942-511D-4274-ACE5-310DC37F38C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3-81F2-41C3-BC3B-1663AAF59C43}"/>
                </c:ext>
              </c:extLst>
            </c:dLbl>
            <c:dLbl>
              <c:idx val="68"/>
              <c:tx>
                <c:rich>
                  <a:bodyPr/>
                  <a:lstStyle/>
                  <a:p>
                    <a:fld id="{9FCD7B22-393D-4D37-BB4B-3769CACF955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4-81F2-41C3-BC3B-1663AAF59C43}"/>
                </c:ext>
              </c:extLst>
            </c:dLbl>
            <c:dLbl>
              <c:idx val="69"/>
              <c:tx>
                <c:rich>
                  <a:bodyPr/>
                  <a:lstStyle/>
                  <a:p>
                    <a:fld id="{5FA3D8D9-7BDB-4583-AA4B-E1EDA043A51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5-81F2-41C3-BC3B-1663AAF59C43}"/>
                </c:ext>
              </c:extLst>
            </c:dLbl>
            <c:dLbl>
              <c:idx val="70"/>
              <c:tx>
                <c:rich>
                  <a:bodyPr/>
                  <a:lstStyle/>
                  <a:p>
                    <a:fld id="{DB74C51F-879C-4E0E-84AE-FB703EDBAA4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6-81F2-41C3-BC3B-1663AAF59C43}"/>
                </c:ext>
              </c:extLst>
            </c:dLbl>
            <c:dLbl>
              <c:idx val="71"/>
              <c:tx>
                <c:rich>
                  <a:bodyPr/>
                  <a:lstStyle/>
                  <a:p>
                    <a:fld id="{AE64D044-7C0D-4D36-80F0-49F48990981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7-81F2-41C3-BC3B-1663AAF59C43}"/>
                </c:ext>
              </c:extLst>
            </c:dLbl>
            <c:dLbl>
              <c:idx val="72"/>
              <c:tx>
                <c:rich>
                  <a:bodyPr/>
                  <a:lstStyle/>
                  <a:p>
                    <a:fld id="{4DB6382E-A943-4253-A370-904A3C1A269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8-81F2-41C3-BC3B-1663AAF59C43}"/>
                </c:ext>
              </c:extLst>
            </c:dLbl>
            <c:dLbl>
              <c:idx val="73"/>
              <c:tx>
                <c:rich>
                  <a:bodyPr/>
                  <a:lstStyle/>
                  <a:p>
                    <a:fld id="{BF5441EC-118A-4EA3-B8EF-337555E4E62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9-81F2-41C3-BC3B-1663AAF59C43}"/>
                </c:ext>
              </c:extLst>
            </c:dLbl>
            <c:dLbl>
              <c:idx val="74"/>
              <c:tx>
                <c:rich>
                  <a:bodyPr/>
                  <a:lstStyle/>
                  <a:p>
                    <a:fld id="{0425FFB5-EE21-478F-B9D1-92A468AE9C9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A-81F2-41C3-BC3B-1663AAF59C43}"/>
                </c:ext>
              </c:extLst>
            </c:dLbl>
            <c:dLbl>
              <c:idx val="75"/>
              <c:tx>
                <c:rich>
                  <a:bodyPr/>
                  <a:lstStyle/>
                  <a:p>
                    <a:fld id="{B71E4D50-A7FE-4AAE-B382-1F46B67BD00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B-81F2-41C3-BC3B-1663AAF59C43}"/>
                </c:ext>
              </c:extLst>
            </c:dLbl>
            <c:dLbl>
              <c:idx val="76"/>
              <c:tx>
                <c:rich>
                  <a:bodyPr/>
                  <a:lstStyle/>
                  <a:p>
                    <a:fld id="{0DB76D76-8F57-4C29-93A5-DE55C26B118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C-81F2-41C3-BC3B-1663AAF59C43}"/>
                </c:ext>
              </c:extLst>
            </c:dLbl>
            <c:dLbl>
              <c:idx val="77"/>
              <c:tx>
                <c:rich>
                  <a:bodyPr/>
                  <a:lstStyle/>
                  <a:p>
                    <a:fld id="{2DA54545-C058-4707-84CA-42FAEAB003C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D-81F2-41C3-BC3B-1663AAF59C43}"/>
                </c:ext>
              </c:extLst>
            </c:dLbl>
            <c:dLbl>
              <c:idx val="78"/>
              <c:tx>
                <c:rich>
                  <a:bodyPr/>
                  <a:lstStyle/>
                  <a:p>
                    <a:fld id="{D8699EDD-FCF9-4D95-A43B-9F7DD63A3D4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E-81F2-41C3-BC3B-1663AAF59C4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trendline>
            <c:spPr>
              <a:ln w="19050" cap="rnd">
                <a:solidFill>
                  <a:schemeClr val="accent1"/>
                </a:solidFill>
                <a:prstDash val="sysDot"/>
              </a:ln>
              <a:effectLst/>
            </c:spPr>
            <c:trendlineType val="linear"/>
            <c:dispRSqr val="1"/>
            <c:dispEq val="0"/>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trendlineLbl>
          </c:trendline>
          <c:xVal>
            <c:numRef>
              <c:f>Kool!$BQ$4:$BQ$82</c:f>
              <c:numCache>
                <c:formatCode>#,##0</c:formatCode>
                <c:ptCount val="79"/>
                <c:pt idx="0">
                  <c:v>151.65577060139972</c:v>
                </c:pt>
                <c:pt idx="1">
                  <c:v>192.74899225829381</c:v>
                </c:pt>
                <c:pt idx="2">
                  <c:v>230.33191526079358</c:v>
                </c:pt>
                <c:pt idx="3">
                  <c:v>219.67158675799087</c:v>
                </c:pt>
                <c:pt idx="4">
                  <c:v>141.67185966257662</c:v>
                </c:pt>
                <c:pt idx="5">
                  <c:v>214.93869114257495</c:v>
                </c:pt>
                <c:pt idx="6">
                  <c:v>150.32010324258172</c:v>
                </c:pt>
                <c:pt idx="7">
                  <c:v>219.9253759908955</c:v>
                </c:pt>
                <c:pt idx="8">
                  <c:v>262.46877760252363</c:v>
                </c:pt>
                <c:pt idx="9">
                  <c:v>122.98046618852455</c:v>
                </c:pt>
                <c:pt idx="10">
                  <c:v>258.3425167009251</c:v>
                </c:pt>
                <c:pt idx="11">
                  <c:v>245.42974263416349</c:v>
                </c:pt>
                <c:pt idx="12">
                  <c:v>243.92238116353323</c:v>
                </c:pt>
                <c:pt idx="13">
                  <c:v>217.40651271322804</c:v>
                </c:pt>
                <c:pt idx="14">
                  <c:v>255.07847777802837</c:v>
                </c:pt>
                <c:pt idx="15">
                  <c:v>315.45799810246689</c:v>
                </c:pt>
                <c:pt idx="16">
                  <c:v>271.93054703742183</c:v>
                </c:pt>
                <c:pt idx="17">
                  <c:v>144.26135609683215</c:v>
                </c:pt>
                <c:pt idx="18">
                  <c:v>144.4148262180606</c:v>
                </c:pt>
                <c:pt idx="19">
                  <c:v>634.74230670103088</c:v>
                </c:pt>
                <c:pt idx="20">
                  <c:v>108.92864529472591</c:v>
                </c:pt>
                <c:pt idx="21">
                  <c:v>176.43942112879904</c:v>
                </c:pt>
                <c:pt idx="22">
                  <c:v>161.60056084818692</c:v>
                </c:pt>
                <c:pt idx="23">
                  <c:v>249.6121082251083</c:v>
                </c:pt>
                <c:pt idx="24">
                  <c:v>425.20471510430849</c:v>
                </c:pt>
                <c:pt idx="25">
                  <c:v>133.69122126436784</c:v>
                </c:pt>
                <c:pt idx="26">
                  <c:v>263.55125363959854</c:v>
                </c:pt>
                <c:pt idx="27">
                  <c:v>176.91747710110931</c:v>
                </c:pt>
                <c:pt idx="28">
                  <c:v>173.04009694244692</c:v>
                </c:pt>
                <c:pt idx="29">
                  <c:v>128.98239231970751</c:v>
                </c:pt>
                <c:pt idx="30">
                  <c:v>295.29766938775521</c:v>
                </c:pt>
                <c:pt idx="31">
                  <c:v>212.22735335391522</c:v>
                </c:pt>
                <c:pt idx="32">
                  <c:v>506.53261008892019</c:v>
                </c:pt>
                <c:pt idx="33">
                  <c:v>132.89048539695594</c:v>
                </c:pt>
                <c:pt idx="34">
                  <c:v>311.43378279118571</c:v>
                </c:pt>
                <c:pt idx="35">
                  <c:v>130.82720984315782</c:v>
                </c:pt>
                <c:pt idx="36">
                  <c:v>143.5983750532595</c:v>
                </c:pt>
                <c:pt idx="37">
                  <c:v>143.10989096573198</c:v>
                </c:pt>
                <c:pt idx="38">
                  <c:v>218.63179052386681</c:v>
                </c:pt>
                <c:pt idx="39">
                  <c:v>214.21545203587027</c:v>
                </c:pt>
                <c:pt idx="40">
                  <c:v>229.87433212996407</c:v>
                </c:pt>
                <c:pt idx="41">
                  <c:v>214.29633440938528</c:v>
                </c:pt>
                <c:pt idx="42">
                  <c:v>221.70883309506789</c:v>
                </c:pt>
                <c:pt idx="43">
                  <c:v>364.49723529411767</c:v>
                </c:pt>
                <c:pt idx="44">
                  <c:v>340.86819365337675</c:v>
                </c:pt>
                <c:pt idx="45">
                  <c:v>112.9491117626779</c:v>
                </c:pt>
                <c:pt idx="46">
                  <c:v>164.54229147991899</c:v>
                </c:pt>
                <c:pt idx="47">
                  <c:v>294.66513246287406</c:v>
                </c:pt>
                <c:pt idx="48">
                  <c:v>304.22922649572655</c:v>
                </c:pt>
                <c:pt idx="49">
                  <c:v>217.45567446808516</c:v>
                </c:pt>
                <c:pt idx="50">
                  <c:v>307.67063982326653</c:v>
                </c:pt>
                <c:pt idx="51">
                  <c:v>182.64772208334622</c:v>
                </c:pt>
                <c:pt idx="52">
                  <c:v>211.50715765449436</c:v>
                </c:pt>
                <c:pt idx="53">
                  <c:v>138.19270034843197</c:v>
                </c:pt>
                <c:pt idx="54">
                  <c:v>205.25536948502699</c:v>
                </c:pt>
                <c:pt idx="55">
                  <c:v>226.06971071935638</c:v>
                </c:pt>
                <c:pt idx="56">
                  <c:v>268.03329457364345</c:v>
                </c:pt>
                <c:pt idx="57">
                  <c:v>853.37965517241355</c:v>
                </c:pt>
                <c:pt idx="58">
                  <c:v>200.90373396003989</c:v>
                </c:pt>
                <c:pt idx="59">
                  <c:v>205.83202382634556</c:v>
                </c:pt>
                <c:pt idx="60">
                  <c:v>131.3046173644473</c:v>
                </c:pt>
                <c:pt idx="61">
                  <c:v>153.40309214903516</c:v>
                </c:pt>
                <c:pt idx="62">
                  <c:v>219.53162442958379</c:v>
                </c:pt>
                <c:pt idx="63">
                  <c:v>107.13701935985978</c:v>
                </c:pt>
                <c:pt idx="64">
                  <c:v>191.88477167947306</c:v>
                </c:pt>
                <c:pt idx="65">
                  <c:v>156.77377800114877</c:v>
                </c:pt>
                <c:pt idx="66">
                  <c:v>276.14732670283303</c:v>
                </c:pt>
                <c:pt idx="67">
                  <c:v>218.06355149670208</c:v>
                </c:pt>
                <c:pt idx="68">
                  <c:v>79.748218787069959</c:v>
                </c:pt>
                <c:pt idx="69">
                  <c:v>272.90492977046932</c:v>
                </c:pt>
                <c:pt idx="70">
                  <c:v>170.24316302652105</c:v>
                </c:pt>
                <c:pt idx="71">
                  <c:v>201.03551431344022</c:v>
                </c:pt>
                <c:pt idx="72">
                  <c:v>135.95564426717164</c:v>
                </c:pt>
                <c:pt idx="73">
                  <c:v>153.19012420566145</c:v>
                </c:pt>
                <c:pt idx="74">
                  <c:v>245.92329688814129</c:v>
                </c:pt>
                <c:pt idx="75">
                  <c:v>248.35814220183468</c:v>
                </c:pt>
                <c:pt idx="76">
                  <c:v>97.901312318840482</c:v>
                </c:pt>
                <c:pt idx="77">
                  <c:v>201.89622831622412</c:v>
                </c:pt>
                <c:pt idx="78">
                  <c:v>200.73621037463977</c:v>
                </c:pt>
              </c:numCache>
            </c:numRef>
          </c:xVal>
          <c:yVal>
            <c:numRef>
              <c:f>Kool!$BY$4:$BY$82</c:f>
              <c:numCache>
                <c:formatCode>#,##0</c:formatCode>
                <c:ptCount val="79"/>
                <c:pt idx="0">
                  <c:v>21.427306047648138</c:v>
                </c:pt>
                <c:pt idx="1">
                  <c:v>13.105263157894736</c:v>
                </c:pt>
                <c:pt idx="2">
                  <c:v>18.748447204968944</c:v>
                </c:pt>
                <c:pt idx="3">
                  <c:v>15.458823529411763</c:v>
                </c:pt>
                <c:pt idx="4">
                  <c:v>18.43109540636042</c:v>
                </c:pt>
                <c:pt idx="5">
                  <c:v>19.593548387096774</c:v>
                </c:pt>
                <c:pt idx="6">
                  <c:v>14.659192825112109</c:v>
                </c:pt>
                <c:pt idx="7">
                  <c:v>15.496774193548386</c:v>
                </c:pt>
                <c:pt idx="8">
                  <c:v>9.7538461538461547</c:v>
                </c:pt>
                <c:pt idx="9">
                  <c:v>15.163841807909606</c:v>
                </c:pt>
                <c:pt idx="10">
                  <c:v>13.148648648648649</c:v>
                </c:pt>
                <c:pt idx="11">
                  <c:v>17.174698795180724</c:v>
                </c:pt>
                <c:pt idx="12">
                  <c:v>19.176870748299319</c:v>
                </c:pt>
                <c:pt idx="13">
                  <c:v>16.126297577854672</c:v>
                </c:pt>
                <c:pt idx="14">
                  <c:v>16.853608247422681</c:v>
                </c:pt>
                <c:pt idx="15">
                  <c:v>11.315950920245397</c:v>
                </c:pt>
                <c:pt idx="16">
                  <c:v>8.6666666666666679</c:v>
                </c:pt>
                <c:pt idx="17">
                  <c:v>16.646766169154226</c:v>
                </c:pt>
                <c:pt idx="18">
                  <c:v>14.721962616822433</c:v>
                </c:pt>
                <c:pt idx="19">
                  <c:v>7.185185185185186</c:v>
                </c:pt>
                <c:pt idx="20">
                  <c:v>14.691988950276246</c:v>
                </c:pt>
                <c:pt idx="21">
                  <c:v>9.5972222222222214</c:v>
                </c:pt>
                <c:pt idx="22">
                  <c:v>15.950980392156861</c:v>
                </c:pt>
                <c:pt idx="23">
                  <c:v>15.000000000000002</c:v>
                </c:pt>
                <c:pt idx="24">
                  <c:v>8.014705882352942</c:v>
                </c:pt>
                <c:pt idx="25">
                  <c:v>15.091836734693878</c:v>
                </c:pt>
                <c:pt idx="26">
                  <c:v>12.265873015873016</c:v>
                </c:pt>
                <c:pt idx="27">
                  <c:v>9.7439446366782008</c:v>
                </c:pt>
                <c:pt idx="28">
                  <c:v>13.938931297709926</c:v>
                </c:pt>
                <c:pt idx="29">
                  <c:v>12.177966101694917</c:v>
                </c:pt>
                <c:pt idx="30">
                  <c:v>9.2803030303030312</c:v>
                </c:pt>
                <c:pt idx="31">
                  <c:v>16.806603773584907</c:v>
                </c:pt>
                <c:pt idx="32">
                  <c:v>3.1666666666666665</c:v>
                </c:pt>
                <c:pt idx="33">
                  <c:v>10.433476394849786</c:v>
                </c:pt>
                <c:pt idx="34">
                  <c:v>11.481927710843376</c:v>
                </c:pt>
                <c:pt idx="35">
                  <c:v>16.405172413793107</c:v>
                </c:pt>
                <c:pt idx="36">
                  <c:v>16.075342465753423</c:v>
                </c:pt>
                <c:pt idx="37">
                  <c:v>9.8015267175572518</c:v>
                </c:pt>
                <c:pt idx="38">
                  <c:v>12.3574144486692</c:v>
                </c:pt>
                <c:pt idx="39">
                  <c:v>12.987261146496815</c:v>
                </c:pt>
                <c:pt idx="40">
                  <c:v>11.446280991735536</c:v>
                </c:pt>
                <c:pt idx="41">
                  <c:v>12.657718120805372</c:v>
                </c:pt>
                <c:pt idx="42">
                  <c:v>12.165217391304347</c:v>
                </c:pt>
                <c:pt idx="43">
                  <c:v>4.9999999999999991</c:v>
                </c:pt>
                <c:pt idx="44">
                  <c:v>11.817307692307692</c:v>
                </c:pt>
                <c:pt idx="45">
                  <c:v>17.268537074148295</c:v>
                </c:pt>
                <c:pt idx="46">
                  <c:v>14.455752212389381</c:v>
                </c:pt>
                <c:pt idx="47">
                  <c:v>9.0924369747899174</c:v>
                </c:pt>
                <c:pt idx="48">
                  <c:v>10</c:v>
                </c:pt>
                <c:pt idx="49">
                  <c:v>10.307017543859649</c:v>
                </c:pt>
                <c:pt idx="50">
                  <c:v>12.033088235294118</c:v>
                </c:pt>
                <c:pt idx="51">
                  <c:v>12.618644067796611</c:v>
                </c:pt>
                <c:pt idx="52">
                  <c:v>13.825242718446601</c:v>
                </c:pt>
                <c:pt idx="53">
                  <c:v>14.192307692307692</c:v>
                </c:pt>
                <c:pt idx="54">
                  <c:v>11.340314136125654</c:v>
                </c:pt>
                <c:pt idx="55">
                  <c:v>13.08359133126935</c:v>
                </c:pt>
                <c:pt idx="56">
                  <c:v>14.333333333333334</c:v>
                </c:pt>
                <c:pt idx="57">
                  <c:v>1.5263157894736843</c:v>
                </c:pt>
                <c:pt idx="58">
                  <c:v>13.546874999999998</c:v>
                </c:pt>
                <c:pt idx="59">
                  <c:v>17.890034364261169</c:v>
                </c:pt>
                <c:pt idx="60">
                  <c:v>17.987654320987655</c:v>
                </c:pt>
                <c:pt idx="61">
                  <c:v>18.108433734939762</c:v>
                </c:pt>
                <c:pt idx="62">
                  <c:v>11.481132075471697</c:v>
                </c:pt>
                <c:pt idx="63">
                  <c:v>18.599146110056928</c:v>
                </c:pt>
                <c:pt idx="64">
                  <c:v>15.815972222222223</c:v>
                </c:pt>
                <c:pt idx="65">
                  <c:v>15.779456193353475</c:v>
                </c:pt>
                <c:pt idx="66">
                  <c:v>16.106796116504853</c:v>
                </c:pt>
                <c:pt idx="67">
                  <c:v>12.967105263157894</c:v>
                </c:pt>
                <c:pt idx="68">
                  <c:v>20.623853211009173</c:v>
                </c:pt>
                <c:pt idx="69">
                  <c:v>11.015094339622641</c:v>
                </c:pt>
                <c:pt idx="70">
                  <c:v>10.683333333333334</c:v>
                </c:pt>
                <c:pt idx="71">
                  <c:v>13.649006622516557</c:v>
                </c:pt>
                <c:pt idx="72">
                  <c:v>12.493243243243242</c:v>
                </c:pt>
                <c:pt idx="73">
                  <c:v>12.917910447761193</c:v>
                </c:pt>
                <c:pt idx="74">
                  <c:v>13.211111111111112</c:v>
                </c:pt>
                <c:pt idx="75">
                  <c:v>8.1750000000000007</c:v>
                </c:pt>
                <c:pt idx="76">
                  <c:v>16.507177033492823</c:v>
                </c:pt>
                <c:pt idx="77">
                  <c:v>15.375586854460096</c:v>
                </c:pt>
                <c:pt idx="78">
                  <c:v>14.458333333333332</c:v>
                </c:pt>
              </c:numCache>
            </c:numRef>
          </c:yVal>
          <c:smooth val="0"/>
          <c:extLst>
            <c:ext xmlns:c15="http://schemas.microsoft.com/office/drawing/2012/chart" uri="{02D57815-91ED-43cb-92C2-25804820EDAC}">
              <c15:datalabelsRange>
                <c15:f>Alusharidus!$A$4:$A$82</c15:f>
                <c15:dlblRangeCache>
                  <c:ptCount val="79"/>
                  <c:pt idx="0">
                    <c:v>Tallinna linn</c:v>
                  </c:pt>
                  <c:pt idx="1">
                    <c:v>Anija vald</c:v>
                  </c:pt>
                  <c:pt idx="2">
                    <c:v>Harku vald</c:v>
                  </c:pt>
                  <c:pt idx="3">
                    <c:v>Jõelähtme vald</c:v>
                  </c:pt>
                  <c:pt idx="4">
                    <c:v>Keila linn</c:v>
                  </c:pt>
                  <c:pt idx="5">
                    <c:v>Kiili vald</c:v>
                  </c:pt>
                  <c:pt idx="6">
                    <c:v>Kose vald</c:v>
                  </c:pt>
                  <c:pt idx="7">
                    <c:v>Kuusalu vald</c:v>
                  </c:pt>
                  <c:pt idx="8">
                    <c:v>Loksa linn</c:v>
                  </c:pt>
                  <c:pt idx="9">
                    <c:v>Maardu linn</c:v>
                  </c:pt>
                  <c:pt idx="10">
                    <c:v>Raasiku vald</c:v>
                  </c:pt>
                  <c:pt idx="11">
                    <c:v>Rae vald</c:v>
                  </c:pt>
                  <c:pt idx="12">
                    <c:v>Saku vald</c:v>
                  </c:pt>
                  <c:pt idx="13">
                    <c:v>Saue vald</c:v>
                  </c:pt>
                  <c:pt idx="14">
                    <c:v>Viimsi vald</c:v>
                  </c:pt>
                  <c:pt idx="15">
                    <c:v>Lääne-Harju vald</c:v>
                  </c:pt>
                  <c:pt idx="16">
                    <c:v>Hiiumaa vald</c:v>
                  </c:pt>
                  <c:pt idx="17">
                    <c:v>Jõhvi vald</c:v>
                  </c:pt>
                  <c:pt idx="18">
                    <c:v>Kohtla-Järve linn</c:v>
                  </c:pt>
                  <c:pt idx="19">
                    <c:v>Lüganuse vald</c:v>
                  </c:pt>
                  <c:pt idx="20">
                    <c:v>Narva linn</c:v>
                  </c:pt>
                  <c:pt idx="21">
                    <c:v>Narva-Jõesuu linn</c:v>
                  </c:pt>
                  <c:pt idx="22">
                    <c:v>Sillamäe linn</c:v>
                  </c:pt>
                  <c:pt idx="23">
                    <c:v>Toila vald</c:v>
                  </c:pt>
                  <c:pt idx="24">
                    <c:v>Alutaguse vald</c:v>
                  </c:pt>
                  <c:pt idx="25">
                    <c:v>Paide linn</c:v>
                  </c:pt>
                  <c:pt idx="26">
                    <c:v>Türi vald</c:v>
                  </c:pt>
                  <c:pt idx="27">
                    <c:v>Järva vald</c:v>
                  </c:pt>
                  <c:pt idx="28">
                    <c:v>Jõgeva vald</c:v>
                  </c:pt>
                  <c:pt idx="29">
                    <c:v>Põltsamaa vald</c:v>
                  </c:pt>
                  <c:pt idx="30">
                    <c:v>Mustvee vald</c:v>
                  </c:pt>
                  <c:pt idx="31">
                    <c:v>Haapsalu linn</c:v>
                  </c:pt>
                  <c:pt idx="32">
                    <c:v>Vormsi vald</c:v>
                  </c:pt>
                  <c:pt idx="33">
                    <c:v>Lääne-Nigula vald</c:v>
                  </c:pt>
                  <c:pt idx="34">
                    <c:v>Haljala vald</c:v>
                  </c:pt>
                  <c:pt idx="35">
                    <c:v>Kadrina vald</c:v>
                  </c:pt>
                  <c:pt idx="36">
                    <c:v>Rakvere linn</c:v>
                  </c:pt>
                  <c:pt idx="37">
                    <c:v>Rakvere vald</c:v>
                  </c:pt>
                  <c:pt idx="38">
                    <c:v>Tapa vald</c:v>
                  </c:pt>
                  <c:pt idx="39">
                    <c:v>Vinni vald</c:v>
                  </c:pt>
                  <c:pt idx="40">
                    <c:v>Viru-Nigula vald</c:v>
                  </c:pt>
                  <c:pt idx="41">
                    <c:v>Väike-Maarja vald</c:v>
                  </c:pt>
                  <c:pt idx="42">
                    <c:v>Häädemeeste vald</c:v>
                  </c:pt>
                  <c:pt idx="43">
                    <c:v>Kihnu vald</c:v>
                  </c:pt>
                  <c:pt idx="44">
                    <c:v>Saarde vald</c:v>
                  </c:pt>
                  <c:pt idx="45">
                    <c:v>Pärnu linn</c:v>
                  </c:pt>
                  <c:pt idx="46">
                    <c:v>Tori vald</c:v>
                  </c:pt>
                  <c:pt idx="47">
                    <c:v>Põhja-Pärnumaa vald</c:v>
                  </c:pt>
                  <c:pt idx="48">
                    <c:v>Lääneranna vald</c:v>
                  </c:pt>
                  <c:pt idx="49">
                    <c:v>Kanepi vald</c:v>
                  </c:pt>
                  <c:pt idx="50">
                    <c:v>Põlva vald</c:v>
                  </c:pt>
                  <c:pt idx="51">
                    <c:v>Räpina vald</c:v>
                  </c:pt>
                  <c:pt idx="52">
                    <c:v>Kehtna vald</c:v>
                  </c:pt>
                  <c:pt idx="53">
                    <c:v>Kohila vald</c:v>
                  </c:pt>
                  <c:pt idx="54">
                    <c:v>Märjamaa vald</c:v>
                  </c:pt>
                  <c:pt idx="55">
                    <c:v>Rapla vald</c:v>
                  </c:pt>
                  <c:pt idx="56">
                    <c:v>Muhu vald</c:v>
                  </c:pt>
                  <c:pt idx="57">
                    <c:v>Ruhnu vald</c:v>
                  </c:pt>
                  <c:pt idx="58">
                    <c:v>Saaremaa vald</c:v>
                  </c:pt>
                  <c:pt idx="59">
                    <c:v>Kambja vald</c:v>
                  </c:pt>
                  <c:pt idx="60">
                    <c:v>Luunja vald</c:v>
                  </c:pt>
                  <c:pt idx="61">
                    <c:v>Nõo vald</c:v>
                  </c:pt>
                  <c:pt idx="62">
                    <c:v>Peipsiääre vald</c:v>
                  </c:pt>
                  <c:pt idx="63">
                    <c:v>Tartu linn</c:v>
                  </c:pt>
                  <c:pt idx="64">
                    <c:v>Tartu vald</c:v>
                  </c:pt>
                  <c:pt idx="65">
                    <c:v>Elva vald</c:v>
                  </c:pt>
                  <c:pt idx="66">
                    <c:v>Kastre vald</c:v>
                  </c:pt>
                  <c:pt idx="67">
                    <c:v>Mulgi vald</c:v>
                  </c:pt>
                  <c:pt idx="68">
                    <c:v>Viljandi linn</c:v>
                  </c:pt>
                  <c:pt idx="69">
                    <c:v>Viljandi vald</c:v>
                  </c:pt>
                  <c:pt idx="70">
                    <c:v>Põhja-Sakala vald</c:v>
                  </c:pt>
                  <c:pt idx="71">
                    <c:v>Otepää vald</c:v>
                  </c:pt>
                  <c:pt idx="72">
                    <c:v>Valga vald</c:v>
                  </c:pt>
                  <c:pt idx="73">
                    <c:v>Tõrva vald</c:v>
                  </c:pt>
                  <c:pt idx="74">
                    <c:v>Antsla vald</c:v>
                  </c:pt>
                  <c:pt idx="75">
                    <c:v>Rõuge vald</c:v>
                  </c:pt>
                  <c:pt idx="76">
                    <c:v>Võru linn</c:v>
                  </c:pt>
                  <c:pt idx="77">
                    <c:v>Võru vald</c:v>
                  </c:pt>
                  <c:pt idx="78">
                    <c:v>Setomaa vald</c:v>
                  </c:pt>
                </c15:dlblRangeCache>
              </c15:datalabelsRange>
            </c:ext>
            <c:ext xmlns:c16="http://schemas.microsoft.com/office/drawing/2014/chart" uri="{C3380CC4-5D6E-409C-BE32-E72D297353CC}">
              <c16:uniqueId val="{00000050-81F2-41C3-BC3B-1663AAF59C43}"/>
            </c:ext>
          </c:extLst>
        </c:ser>
        <c:dLbls>
          <c:showLegendKey val="0"/>
          <c:showVal val="0"/>
          <c:showCatName val="0"/>
          <c:showSerName val="0"/>
          <c:showPercent val="0"/>
          <c:showBubbleSize val="0"/>
        </c:dLbls>
        <c:axId val="1328638975"/>
        <c:axId val="997580256"/>
      </c:scatterChart>
      <c:valAx>
        <c:axId val="1328638975"/>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Kulu lapse kohta kuus</a:t>
                </a:r>
                <a:r>
                  <a:rPr lang="et-EE"/>
                  <a:t> (eurot)</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997580256"/>
        <c:crosses val="autoZero"/>
        <c:crossBetween val="midCat"/>
      </c:valAx>
      <c:valAx>
        <c:axId val="997580256"/>
        <c:scaling>
          <c:orientation val="minMax"/>
          <c:min val="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t-EE"/>
                  <a:t>Klassi</a:t>
                </a:r>
                <a:r>
                  <a:rPr lang="et-EE" baseline="0"/>
                  <a:t> täitumus</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328638975"/>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t-EE"/>
              <a:t>Koolikoha kulu</a:t>
            </a:r>
            <a:r>
              <a:rPr lang="et-EE" baseline="0"/>
              <a:t> katteallikad eurot lapse kohta kuus 2025</a:t>
            </a:r>
            <a:endParaRPr lang="et-E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t-EE"/>
        </a:p>
      </c:txPr>
    </c:title>
    <c:autoTitleDeleted val="0"/>
    <c:plotArea>
      <c:layout/>
      <c:barChart>
        <c:barDir val="col"/>
        <c:grouping val="stacked"/>
        <c:varyColors val="0"/>
        <c:ser>
          <c:idx val="3"/>
          <c:order val="0"/>
          <c:tx>
            <c:strRef>
              <c:f>Kool!$BQ$3</c:f>
              <c:strCache>
                <c:ptCount val="1"/>
                <c:pt idx="0">
                  <c:v>KOV</c:v>
                </c:pt>
              </c:strCache>
            </c:strRef>
          </c:tx>
          <c:spPr>
            <a:solidFill>
              <a:schemeClr val="accent4"/>
            </a:solidFill>
            <a:ln>
              <a:noFill/>
            </a:ln>
            <a:effectLst/>
          </c:spPr>
          <c:invertIfNegative val="0"/>
          <c:cat>
            <c:strRef>
              <c:f>Kool!$A$4:$A$82</c:f>
              <c:strCache>
                <c:ptCount val="79"/>
                <c:pt idx="0">
                  <c:v>Tallinna linn</c:v>
                </c:pt>
                <c:pt idx="1">
                  <c:v>Anija vald</c:v>
                </c:pt>
                <c:pt idx="2">
                  <c:v>Harku vald</c:v>
                </c:pt>
                <c:pt idx="3">
                  <c:v>Jõelähtme vald</c:v>
                </c:pt>
                <c:pt idx="4">
                  <c:v>Keila linn</c:v>
                </c:pt>
                <c:pt idx="5">
                  <c:v>Kiili vald</c:v>
                </c:pt>
                <c:pt idx="6">
                  <c:v>Kose vald</c:v>
                </c:pt>
                <c:pt idx="7">
                  <c:v>Kuusalu vald</c:v>
                </c:pt>
                <c:pt idx="8">
                  <c:v>Loksa linn</c:v>
                </c:pt>
                <c:pt idx="9">
                  <c:v>Maardu linn</c:v>
                </c:pt>
                <c:pt idx="10">
                  <c:v>Raasiku vald</c:v>
                </c:pt>
                <c:pt idx="11">
                  <c:v>Rae vald</c:v>
                </c:pt>
                <c:pt idx="12">
                  <c:v>Saku vald</c:v>
                </c:pt>
                <c:pt idx="13">
                  <c:v>Saue vald</c:v>
                </c:pt>
                <c:pt idx="14">
                  <c:v>Viimsi vald</c:v>
                </c:pt>
                <c:pt idx="15">
                  <c:v>Lääne-Harju vald</c:v>
                </c:pt>
                <c:pt idx="16">
                  <c:v>Hiiumaa vald</c:v>
                </c:pt>
                <c:pt idx="17">
                  <c:v>Jõhvi vald</c:v>
                </c:pt>
                <c:pt idx="18">
                  <c:v>Kohtla-Järve linn</c:v>
                </c:pt>
                <c:pt idx="19">
                  <c:v>Lüganuse vald</c:v>
                </c:pt>
                <c:pt idx="20">
                  <c:v>Narva linn</c:v>
                </c:pt>
                <c:pt idx="21">
                  <c:v>Narva-Jõesuu linn</c:v>
                </c:pt>
                <c:pt idx="22">
                  <c:v>Sillamäe linn</c:v>
                </c:pt>
                <c:pt idx="23">
                  <c:v>Toila vald</c:v>
                </c:pt>
                <c:pt idx="24">
                  <c:v>Alutaguse vald</c:v>
                </c:pt>
                <c:pt idx="25">
                  <c:v>Paide linn</c:v>
                </c:pt>
                <c:pt idx="26">
                  <c:v>Türi vald</c:v>
                </c:pt>
                <c:pt idx="27">
                  <c:v>Järva vald</c:v>
                </c:pt>
                <c:pt idx="28">
                  <c:v>Jõgeva vald</c:v>
                </c:pt>
                <c:pt idx="29">
                  <c:v>Põltsamaa vald</c:v>
                </c:pt>
                <c:pt idx="30">
                  <c:v>Mustvee vald</c:v>
                </c:pt>
                <c:pt idx="31">
                  <c:v>Haapsalu linn</c:v>
                </c:pt>
                <c:pt idx="32">
                  <c:v>Vormsi vald</c:v>
                </c:pt>
                <c:pt idx="33">
                  <c:v>Lääne-Nigula vald</c:v>
                </c:pt>
                <c:pt idx="34">
                  <c:v>Haljala vald</c:v>
                </c:pt>
                <c:pt idx="35">
                  <c:v>Kadrina vald</c:v>
                </c:pt>
                <c:pt idx="36">
                  <c:v>Rakvere linn</c:v>
                </c:pt>
                <c:pt idx="37">
                  <c:v>Rakvere vald</c:v>
                </c:pt>
                <c:pt idx="38">
                  <c:v>Tapa vald</c:v>
                </c:pt>
                <c:pt idx="39">
                  <c:v>Vinni vald</c:v>
                </c:pt>
                <c:pt idx="40">
                  <c:v>Viru-Nigula vald</c:v>
                </c:pt>
                <c:pt idx="41">
                  <c:v>Väike-Maarja vald</c:v>
                </c:pt>
                <c:pt idx="42">
                  <c:v>Häädemeeste vald</c:v>
                </c:pt>
                <c:pt idx="43">
                  <c:v>Kihnu vald</c:v>
                </c:pt>
                <c:pt idx="44">
                  <c:v>Saarde vald</c:v>
                </c:pt>
                <c:pt idx="45">
                  <c:v>Pärnu linn</c:v>
                </c:pt>
                <c:pt idx="46">
                  <c:v>Tori vald</c:v>
                </c:pt>
                <c:pt idx="47">
                  <c:v>Põhja-Pärnumaa vald</c:v>
                </c:pt>
                <c:pt idx="48">
                  <c:v>Lääneranna vald</c:v>
                </c:pt>
                <c:pt idx="49">
                  <c:v>Kanepi vald</c:v>
                </c:pt>
                <c:pt idx="50">
                  <c:v>Põlva vald</c:v>
                </c:pt>
                <c:pt idx="51">
                  <c:v>Räpina vald</c:v>
                </c:pt>
                <c:pt idx="52">
                  <c:v>Kehtna vald</c:v>
                </c:pt>
                <c:pt idx="53">
                  <c:v>Kohila vald</c:v>
                </c:pt>
                <c:pt idx="54">
                  <c:v>Märjamaa vald</c:v>
                </c:pt>
                <c:pt idx="55">
                  <c:v>Rapla vald</c:v>
                </c:pt>
                <c:pt idx="56">
                  <c:v>Muhu vald</c:v>
                </c:pt>
                <c:pt idx="57">
                  <c:v>Ruhnu vald</c:v>
                </c:pt>
                <c:pt idx="58">
                  <c:v>Saaremaa vald</c:v>
                </c:pt>
                <c:pt idx="59">
                  <c:v>Kambja vald</c:v>
                </c:pt>
                <c:pt idx="60">
                  <c:v>Luunja vald</c:v>
                </c:pt>
                <c:pt idx="61">
                  <c:v>Nõo vald</c:v>
                </c:pt>
                <c:pt idx="62">
                  <c:v>Peipsiääre vald</c:v>
                </c:pt>
                <c:pt idx="63">
                  <c:v>Tartu linn</c:v>
                </c:pt>
                <c:pt idx="64">
                  <c:v>Tartu vald</c:v>
                </c:pt>
                <c:pt idx="65">
                  <c:v>Elva vald</c:v>
                </c:pt>
                <c:pt idx="66">
                  <c:v>Kastre vald</c:v>
                </c:pt>
                <c:pt idx="67">
                  <c:v>Mulgi vald</c:v>
                </c:pt>
                <c:pt idx="68">
                  <c:v>Viljandi linn</c:v>
                </c:pt>
                <c:pt idx="69">
                  <c:v>Viljandi vald</c:v>
                </c:pt>
                <c:pt idx="70">
                  <c:v>Põhja-Sakala vald</c:v>
                </c:pt>
                <c:pt idx="71">
                  <c:v>Otepää vald</c:v>
                </c:pt>
                <c:pt idx="72">
                  <c:v>Valga vald</c:v>
                </c:pt>
                <c:pt idx="73">
                  <c:v>Tõrva vald</c:v>
                </c:pt>
                <c:pt idx="74">
                  <c:v>Antsla vald</c:v>
                </c:pt>
                <c:pt idx="75">
                  <c:v>Rõuge vald</c:v>
                </c:pt>
                <c:pt idx="76">
                  <c:v>Võru linn</c:v>
                </c:pt>
                <c:pt idx="77">
                  <c:v>Võru vald</c:v>
                </c:pt>
                <c:pt idx="78">
                  <c:v>Setomaa vald</c:v>
                </c:pt>
              </c:strCache>
            </c:strRef>
          </c:cat>
          <c:val>
            <c:numRef>
              <c:f>Kool!$BQ$4:$BQ$82</c:f>
              <c:numCache>
                <c:formatCode>#,##0</c:formatCode>
                <c:ptCount val="79"/>
                <c:pt idx="0">
                  <c:v>151.65577060139972</c:v>
                </c:pt>
                <c:pt idx="1">
                  <c:v>192.74899225829381</c:v>
                </c:pt>
                <c:pt idx="2">
                  <c:v>230.33191526079358</c:v>
                </c:pt>
                <c:pt idx="3">
                  <c:v>219.67158675799087</c:v>
                </c:pt>
                <c:pt idx="4">
                  <c:v>141.67185966257662</c:v>
                </c:pt>
                <c:pt idx="5">
                  <c:v>214.93869114257495</c:v>
                </c:pt>
                <c:pt idx="6">
                  <c:v>150.32010324258172</c:v>
                </c:pt>
                <c:pt idx="7">
                  <c:v>219.9253759908955</c:v>
                </c:pt>
                <c:pt idx="8">
                  <c:v>262.46877760252363</c:v>
                </c:pt>
                <c:pt idx="9">
                  <c:v>122.98046618852455</c:v>
                </c:pt>
                <c:pt idx="10">
                  <c:v>258.3425167009251</c:v>
                </c:pt>
                <c:pt idx="11">
                  <c:v>245.42974263416349</c:v>
                </c:pt>
                <c:pt idx="12">
                  <c:v>243.92238116353323</c:v>
                </c:pt>
                <c:pt idx="13">
                  <c:v>217.40651271322804</c:v>
                </c:pt>
                <c:pt idx="14">
                  <c:v>255.07847777802837</c:v>
                </c:pt>
                <c:pt idx="15">
                  <c:v>315.45799810246689</c:v>
                </c:pt>
                <c:pt idx="16">
                  <c:v>271.93054703742183</c:v>
                </c:pt>
                <c:pt idx="17">
                  <c:v>144.26135609683215</c:v>
                </c:pt>
                <c:pt idx="18">
                  <c:v>144.4148262180606</c:v>
                </c:pt>
                <c:pt idx="19">
                  <c:v>634.74230670103088</c:v>
                </c:pt>
                <c:pt idx="20">
                  <c:v>108.92864529472591</c:v>
                </c:pt>
                <c:pt idx="21">
                  <c:v>176.43942112879904</c:v>
                </c:pt>
                <c:pt idx="22">
                  <c:v>161.60056084818692</c:v>
                </c:pt>
                <c:pt idx="23">
                  <c:v>249.6121082251083</c:v>
                </c:pt>
                <c:pt idx="24">
                  <c:v>425.20471510430849</c:v>
                </c:pt>
                <c:pt idx="25">
                  <c:v>133.69122126436784</c:v>
                </c:pt>
                <c:pt idx="26">
                  <c:v>263.55125363959854</c:v>
                </c:pt>
                <c:pt idx="27">
                  <c:v>176.91747710110931</c:v>
                </c:pt>
                <c:pt idx="28">
                  <c:v>173.04009694244692</c:v>
                </c:pt>
                <c:pt idx="29">
                  <c:v>128.98239231970751</c:v>
                </c:pt>
                <c:pt idx="30">
                  <c:v>295.29766938775521</c:v>
                </c:pt>
                <c:pt idx="31">
                  <c:v>212.22735335391522</c:v>
                </c:pt>
                <c:pt idx="32">
                  <c:v>506.53261008892019</c:v>
                </c:pt>
                <c:pt idx="33">
                  <c:v>132.89048539695594</c:v>
                </c:pt>
                <c:pt idx="34">
                  <c:v>311.43378279118571</c:v>
                </c:pt>
                <c:pt idx="35">
                  <c:v>130.82720984315782</c:v>
                </c:pt>
                <c:pt idx="36">
                  <c:v>143.5983750532595</c:v>
                </c:pt>
                <c:pt idx="37">
                  <c:v>143.10989096573198</c:v>
                </c:pt>
                <c:pt idx="38">
                  <c:v>218.63179052386681</c:v>
                </c:pt>
                <c:pt idx="39">
                  <c:v>214.21545203587027</c:v>
                </c:pt>
                <c:pt idx="40">
                  <c:v>229.87433212996407</c:v>
                </c:pt>
                <c:pt idx="41">
                  <c:v>214.29633440938528</c:v>
                </c:pt>
                <c:pt idx="42">
                  <c:v>221.70883309506789</c:v>
                </c:pt>
                <c:pt idx="43">
                  <c:v>364.49723529411767</c:v>
                </c:pt>
                <c:pt idx="44">
                  <c:v>340.86819365337675</c:v>
                </c:pt>
                <c:pt idx="45">
                  <c:v>112.9491117626779</c:v>
                </c:pt>
                <c:pt idx="46">
                  <c:v>164.54229147991899</c:v>
                </c:pt>
                <c:pt idx="47">
                  <c:v>294.66513246287406</c:v>
                </c:pt>
                <c:pt idx="48">
                  <c:v>304.22922649572655</c:v>
                </c:pt>
                <c:pt idx="49">
                  <c:v>217.45567446808516</c:v>
                </c:pt>
                <c:pt idx="50">
                  <c:v>307.67063982326653</c:v>
                </c:pt>
                <c:pt idx="51">
                  <c:v>182.64772208334622</c:v>
                </c:pt>
                <c:pt idx="52">
                  <c:v>211.50715765449436</c:v>
                </c:pt>
                <c:pt idx="53">
                  <c:v>138.19270034843197</c:v>
                </c:pt>
                <c:pt idx="54">
                  <c:v>205.25536948502699</c:v>
                </c:pt>
                <c:pt idx="55">
                  <c:v>226.06971071935638</c:v>
                </c:pt>
                <c:pt idx="56">
                  <c:v>268.03329457364345</c:v>
                </c:pt>
                <c:pt idx="57">
                  <c:v>853.37965517241355</c:v>
                </c:pt>
                <c:pt idx="58">
                  <c:v>200.90373396003989</c:v>
                </c:pt>
                <c:pt idx="59">
                  <c:v>205.83202382634556</c:v>
                </c:pt>
                <c:pt idx="60">
                  <c:v>131.3046173644473</c:v>
                </c:pt>
                <c:pt idx="61">
                  <c:v>153.40309214903516</c:v>
                </c:pt>
                <c:pt idx="62">
                  <c:v>219.53162442958379</c:v>
                </c:pt>
                <c:pt idx="63">
                  <c:v>107.13701935985978</c:v>
                </c:pt>
                <c:pt idx="64">
                  <c:v>191.88477167947306</c:v>
                </c:pt>
                <c:pt idx="65">
                  <c:v>156.77377800114877</c:v>
                </c:pt>
                <c:pt idx="66">
                  <c:v>276.14732670283303</c:v>
                </c:pt>
                <c:pt idx="67">
                  <c:v>218.06355149670208</c:v>
                </c:pt>
                <c:pt idx="68">
                  <c:v>79.748218787069959</c:v>
                </c:pt>
                <c:pt idx="69">
                  <c:v>272.90492977046932</c:v>
                </c:pt>
                <c:pt idx="70">
                  <c:v>170.24316302652105</c:v>
                </c:pt>
                <c:pt idx="71">
                  <c:v>201.03551431344022</c:v>
                </c:pt>
                <c:pt idx="72">
                  <c:v>135.95564426717164</c:v>
                </c:pt>
                <c:pt idx="73">
                  <c:v>153.19012420566145</c:v>
                </c:pt>
                <c:pt idx="74">
                  <c:v>245.92329688814129</c:v>
                </c:pt>
                <c:pt idx="75">
                  <c:v>248.35814220183468</c:v>
                </c:pt>
                <c:pt idx="76">
                  <c:v>97.901312318840482</c:v>
                </c:pt>
                <c:pt idx="77">
                  <c:v>201.89622831622412</c:v>
                </c:pt>
                <c:pt idx="78">
                  <c:v>200.73621037463977</c:v>
                </c:pt>
              </c:numCache>
            </c:numRef>
          </c:val>
          <c:extLst>
            <c:ext xmlns:c16="http://schemas.microsoft.com/office/drawing/2014/chart" uri="{C3380CC4-5D6E-409C-BE32-E72D297353CC}">
              <c16:uniqueId val="{00000000-816A-40B7-89F3-DA7F8CF2C564}"/>
            </c:ext>
          </c:extLst>
        </c:ser>
        <c:ser>
          <c:idx val="1"/>
          <c:order val="1"/>
          <c:tx>
            <c:strRef>
              <c:f>Kool!$BR$3</c:f>
              <c:strCache>
                <c:ptCount val="1"/>
                <c:pt idx="0">
                  <c:v>Toetused ja teenused</c:v>
                </c:pt>
              </c:strCache>
            </c:strRef>
          </c:tx>
          <c:spPr>
            <a:solidFill>
              <a:schemeClr val="accent2"/>
            </a:solidFill>
            <a:ln>
              <a:noFill/>
            </a:ln>
            <a:effectLst/>
          </c:spPr>
          <c:invertIfNegative val="0"/>
          <c:cat>
            <c:strRef>
              <c:f>Kool!$A$4:$A$82</c:f>
              <c:strCache>
                <c:ptCount val="79"/>
                <c:pt idx="0">
                  <c:v>Tallinna linn</c:v>
                </c:pt>
                <c:pt idx="1">
                  <c:v>Anija vald</c:v>
                </c:pt>
                <c:pt idx="2">
                  <c:v>Harku vald</c:v>
                </c:pt>
                <c:pt idx="3">
                  <c:v>Jõelähtme vald</c:v>
                </c:pt>
                <c:pt idx="4">
                  <c:v>Keila linn</c:v>
                </c:pt>
                <c:pt idx="5">
                  <c:v>Kiili vald</c:v>
                </c:pt>
                <c:pt idx="6">
                  <c:v>Kose vald</c:v>
                </c:pt>
                <c:pt idx="7">
                  <c:v>Kuusalu vald</c:v>
                </c:pt>
                <c:pt idx="8">
                  <c:v>Loksa linn</c:v>
                </c:pt>
                <c:pt idx="9">
                  <c:v>Maardu linn</c:v>
                </c:pt>
                <c:pt idx="10">
                  <c:v>Raasiku vald</c:v>
                </c:pt>
                <c:pt idx="11">
                  <c:v>Rae vald</c:v>
                </c:pt>
                <c:pt idx="12">
                  <c:v>Saku vald</c:v>
                </c:pt>
                <c:pt idx="13">
                  <c:v>Saue vald</c:v>
                </c:pt>
                <c:pt idx="14">
                  <c:v>Viimsi vald</c:v>
                </c:pt>
                <c:pt idx="15">
                  <c:v>Lääne-Harju vald</c:v>
                </c:pt>
                <c:pt idx="16">
                  <c:v>Hiiumaa vald</c:v>
                </c:pt>
                <c:pt idx="17">
                  <c:v>Jõhvi vald</c:v>
                </c:pt>
                <c:pt idx="18">
                  <c:v>Kohtla-Järve linn</c:v>
                </c:pt>
                <c:pt idx="19">
                  <c:v>Lüganuse vald</c:v>
                </c:pt>
                <c:pt idx="20">
                  <c:v>Narva linn</c:v>
                </c:pt>
                <c:pt idx="21">
                  <c:v>Narva-Jõesuu linn</c:v>
                </c:pt>
                <c:pt idx="22">
                  <c:v>Sillamäe linn</c:v>
                </c:pt>
                <c:pt idx="23">
                  <c:v>Toila vald</c:v>
                </c:pt>
                <c:pt idx="24">
                  <c:v>Alutaguse vald</c:v>
                </c:pt>
                <c:pt idx="25">
                  <c:v>Paide linn</c:v>
                </c:pt>
                <c:pt idx="26">
                  <c:v>Türi vald</c:v>
                </c:pt>
                <c:pt idx="27">
                  <c:v>Järva vald</c:v>
                </c:pt>
                <c:pt idx="28">
                  <c:v>Jõgeva vald</c:v>
                </c:pt>
                <c:pt idx="29">
                  <c:v>Põltsamaa vald</c:v>
                </c:pt>
                <c:pt idx="30">
                  <c:v>Mustvee vald</c:v>
                </c:pt>
                <c:pt idx="31">
                  <c:v>Haapsalu linn</c:v>
                </c:pt>
                <c:pt idx="32">
                  <c:v>Vormsi vald</c:v>
                </c:pt>
                <c:pt idx="33">
                  <c:v>Lääne-Nigula vald</c:v>
                </c:pt>
                <c:pt idx="34">
                  <c:v>Haljala vald</c:v>
                </c:pt>
                <c:pt idx="35">
                  <c:v>Kadrina vald</c:v>
                </c:pt>
                <c:pt idx="36">
                  <c:v>Rakvere linn</c:v>
                </c:pt>
                <c:pt idx="37">
                  <c:v>Rakvere vald</c:v>
                </c:pt>
                <c:pt idx="38">
                  <c:v>Tapa vald</c:v>
                </c:pt>
                <c:pt idx="39">
                  <c:v>Vinni vald</c:v>
                </c:pt>
                <c:pt idx="40">
                  <c:v>Viru-Nigula vald</c:v>
                </c:pt>
                <c:pt idx="41">
                  <c:v>Väike-Maarja vald</c:v>
                </c:pt>
                <c:pt idx="42">
                  <c:v>Häädemeeste vald</c:v>
                </c:pt>
                <c:pt idx="43">
                  <c:v>Kihnu vald</c:v>
                </c:pt>
                <c:pt idx="44">
                  <c:v>Saarde vald</c:v>
                </c:pt>
                <c:pt idx="45">
                  <c:v>Pärnu linn</c:v>
                </c:pt>
                <c:pt idx="46">
                  <c:v>Tori vald</c:v>
                </c:pt>
                <c:pt idx="47">
                  <c:v>Põhja-Pärnumaa vald</c:v>
                </c:pt>
                <c:pt idx="48">
                  <c:v>Lääneranna vald</c:v>
                </c:pt>
                <c:pt idx="49">
                  <c:v>Kanepi vald</c:v>
                </c:pt>
                <c:pt idx="50">
                  <c:v>Põlva vald</c:v>
                </c:pt>
                <c:pt idx="51">
                  <c:v>Räpina vald</c:v>
                </c:pt>
                <c:pt idx="52">
                  <c:v>Kehtna vald</c:v>
                </c:pt>
                <c:pt idx="53">
                  <c:v>Kohila vald</c:v>
                </c:pt>
                <c:pt idx="54">
                  <c:v>Märjamaa vald</c:v>
                </c:pt>
                <c:pt idx="55">
                  <c:v>Rapla vald</c:v>
                </c:pt>
                <c:pt idx="56">
                  <c:v>Muhu vald</c:v>
                </c:pt>
                <c:pt idx="57">
                  <c:v>Ruhnu vald</c:v>
                </c:pt>
                <c:pt idx="58">
                  <c:v>Saaremaa vald</c:v>
                </c:pt>
                <c:pt idx="59">
                  <c:v>Kambja vald</c:v>
                </c:pt>
                <c:pt idx="60">
                  <c:v>Luunja vald</c:v>
                </c:pt>
                <c:pt idx="61">
                  <c:v>Nõo vald</c:v>
                </c:pt>
                <c:pt idx="62">
                  <c:v>Peipsiääre vald</c:v>
                </c:pt>
                <c:pt idx="63">
                  <c:v>Tartu linn</c:v>
                </c:pt>
                <c:pt idx="64">
                  <c:v>Tartu vald</c:v>
                </c:pt>
                <c:pt idx="65">
                  <c:v>Elva vald</c:v>
                </c:pt>
                <c:pt idx="66">
                  <c:v>Kastre vald</c:v>
                </c:pt>
                <c:pt idx="67">
                  <c:v>Mulgi vald</c:v>
                </c:pt>
                <c:pt idx="68">
                  <c:v>Viljandi linn</c:v>
                </c:pt>
                <c:pt idx="69">
                  <c:v>Viljandi vald</c:v>
                </c:pt>
                <c:pt idx="70">
                  <c:v>Põhja-Sakala vald</c:v>
                </c:pt>
                <c:pt idx="71">
                  <c:v>Otepää vald</c:v>
                </c:pt>
                <c:pt idx="72">
                  <c:v>Valga vald</c:v>
                </c:pt>
                <c:pt idx="73">
                  <c:v>Tõrva vald</c:v>
                </c:pt>
                <c:pt idx="74">
                  <c:v>Antsla vald</c:v>
                </c:pt>
                <c:pt idx="75">
                  <c:v>Rõuge vald</c:v>
                </c:pt>
                <c:pt idx="76">
                  <c:v>Võru linn</c:v>
                </c:pt>
                <c:pt idx="77">
                  <c:v>Võru vald</c:v>
                </c:pt>
                <c:pt idx="78">
                  <c:v>Setomaa vald</c:v>
                </c:pt>
              </c:strCache>
            </c:strRef>
          </c:cat>
          <c:val>
            <c:numRef>
              <c:f>Kool!$BR$4:$BR$82</c:f>
              <c:numCache>
                <c:formatCode>#,##0</c:formatCode>
                <c:ptCount val="79"/>
                <c:pt idx="0">
                  <c:v>273.22189941983953</c:v>
                </c:pt>
                <c:pt idx="1">
                  <c:v>348.41652735943779</c:v>
                </c:pt>
                <c:pt idx="2">
                  <c:v>259.90368312075537</c:v>
                </c:pt>
                <c:pt idx="3">
                  <c:v>333.45582762557081</c:v>
                </c:pt>
                <c:pt idx="4">
                  <c:v>269.38696894171784</c:v>
                </c:pt>
                <c:pt idx="5">
                  <c:v>243.96182169904509</c:v>
                </c:pt>
                <c:pt idx="6">
                  <c:v>310.49583435301315</c:v>
                </c:pt>
                <c:pt idx="7">
                  <c:v>296.05453684429648</c:v>
                </c:pt>
                <c:pt idx="8">
                  <c:v>387.56520899053635</c:v>
                </c:pt>
                <c:pt idx="9">
                  <c:v>272.89173248882264</c:v>
                </c:pt>
                <c:pt idx="10">
                  <c:v>303.71910071942449</c:v>
                </c:pt>
                <c:pt idx="11">
                  <c:v>258.50700653279551</c:v>
                </c:pt>
                <c:pt idx="12">
                  <c:v>270.91117107130191</c:v>
                </c:pt>
                <c:pt idx="13">
                  <c:v>279.98719853020066</c:v>
                </c:pt>
                <c:pt idx="14">
                  <c:v>283.56571170785412</c:v>
                </c:pt>
                <c:pt idx="15">
                  <c:v>376.68570344266749</c:v>
                </c:pt>
                <c:pt idx="16">
                  <c:v>400.5624701143451</c:v>
                </c:pt>
                <c:pt idx="17">
                  <c:v>352.27375747160789</c:v>
                </c:pt>
                <c:pt idx="18">
                  <c:v>377.61261466433893</c:v>
                </c:pt>
                <c:pt idx="19">
                  <c:v>707.63908505154632</c:v>
                </c:pt>
                <c:pt idx="20">
                  <c:v>353.05694533233054</c:v>
                </c:pt>
                <c:pt idx="21">
                  <c:v>583.20118306801737</c:v>
                </c:pt>
                <c:pt idx="22">
                  <c:v>423.08802858020903</c:v>
                </c:pt>
                <c:pt idx="23">
                  <c:v>455.23856493506491</c:v>
                </c:pt>
                <c:pt idx="24">
                  <c:v>635.49445412844034</c:v>
                </c:pt>
                <c:pt idx="25">
                  <c:v>305.99145706558483</c:v>
                </c:pt>
                <c:pt idx="26">
                  <c:v>347.08364526043357</c:v>
                </c:pt>
                <c:pt idx="27">
                  <c:v>381.41204900568187</c:v>
                </c:pt>
                <c:pt idx="28">
                  <c:v>328.53166757940846</c:v>
                </c:pt>
                <c:pt idx="29">
                  <c:v>345.59520441892829</c:v>
                </c:pt>
                <c:pt idx="30">
                  <c:v>434.04428163265305</c:v>
                </c:pt>
                <c:pt idx="31">
                  <c:v>302.61248105529046</c:v>
                </c:pt>
                <c:pt idx="32">
                  <c:v>1156.8096052631579</c:v>
                </c:pt>
                <c:pt idx="33">
                  <c:v>401.92666598107775</c:v>
                </c:pt>
                <c:pt idx="34">
                  <c:v>341.54789611752358</c:v>
                </c:pt>
                <c:pt idx="35">
                  <c:v>306.4917564372044</c:v>
                </c:pt>
                <c:pt idx="36">
                  <c:v>300.1754303365999</c:v>
                </c:pt>
                <c:pt idx="37">
                  <c:v>511.27716900311526</c:v>
                </c:pt>
                <c:pt idx="38">
                  <c:v>312.19111076923076</c:v>
                </c:pt>
                <c:pt idx="39">
                  <c:v>351.89755640019621</c:v>
                </c:pt>
                <c:pt idx="40">
                  <c:v>370.97403971119132</c:v>
                </c:pt>
                <c:pt idx="41">
                  <c:v>336.51745227995758</c:v>
                </c:pt>
                <c:pt idx="42">
                  <c:v>378.77524124374548</c:v>
                </c:pt>
                <c:pt idx="43">
                  <c:v>738.43235294117642</c:v>
                </c:pt>
                <c:pt idx="44">
                  <c:v>349.18747558991049</c:v>
                </c:pt>
                <c:pt idx="45">
                  <c:v>298.49670447951729</c:v>
                </c:pt>
                <c:pt idx="46">
                  <c:v>371.74031068258341</c:v>
                </c:pt>
                <c:pt idx="47">
                  <c:v>374.67868530499072</c:v>
                </c:pt>
                <c:pt idx="48">
                  <c:v>436.17871581196579</c:v>
                </c:pt>
                <c:pt idx="49">
                  <c:v>420.23100851063833</c:v>
                </c:pt>
                <c:pt idx="50">
                  <c:v>373.69042010388029</c:v>
                </c:pt>
                <c:pt idx="51">
                  <c:v>359.11972968435185</c:v>
                </c:pt>
                <c:pt idx="52">
                  <c:v>417.62354108146064</c:v>
                </c:pt>
                <c:pt idx="53">
                  <c:v>279.4747241579559</c:v>
                </c:pt>
                <c:pt idx="54">
                  <c:v>332.42180747922436</c:v>
                </c:pt>
                <c:pt idx="55">
                  <c:v>343.76049396592521</c:v>
                </c:pt>
                <c:pt idx="56">
                  <c:v>447.31125968992245</c:v>
                </c:pt>
                <c:pt idx="57">
                  <c:v>1466.8534482758621</c:v>
                </c:pt>
                <c:pt idx="58">
                  <c:v>354.84160821012898</c:v>
                </c:pt>
                <c:pt idx="59">
                  <c:v>270.45378793699575</c:v>
                </c:pt>
                <c:pt idx="60">
                  <c:v>337.4958665065202</c:v>
                </c:pt>
                <c:pt idx="61">
                  <c:v>295.92086161011309</c:v>
                </c:pt>
                <c:pt idx="62">
                  <c:v>408.95923171733779</c:v>
                </c:pt>
                <c:pt idx="63">
                  <c:v>285.64466861784888</c:v>
                </c:pt>
                <c:pt idx="64">
                  <c:v>306.74816849615803</c:v>
                </c:pt>
                <c:pt idx="65">
                  <c:v>332.83284127895843</c:v>
                </c:pt>
                <c:pt idx="66">
                  <c:v>399.97696353224836</c:v>
                </c:pt>
                <c:pt idx="67">
                  <c:v>359.31976027397263</c:v>
                </c:pt>
                <c:pt idx="68">
                  <c:v>277.04077402135232</c:v>
                </c:pt>
                <c:pt idx="69">
                  <c:v>399.81038026721484</c:v>
                </c:pt>
                <c:pt idx="70">
                  <c:v>430.9451404056162</c:v>
                </c:pt>
                <c:pt idx="71">
                  <c:v>360.7335540999515</c:v>
                </c:pt>
                <c:pt idx="72">
                  <c:v>334.49209167117363</c:v>
                </c:pt>
                <c:pt idx="73">
                  <c:v>354.043549971115</c:v>
                </c:pt>
                <c:pt idx="74">
                  <c:v>392.92185029436496</c:v>
                </c:pt>
                <c:pt idx="75">
                  <c:v>437.00065494393476</c:v>
                </c:pt>
                <c:pt idx="76">
                  <c:v>302.21133623188405</c:v>
                </c:pt>
                <c:pt idx="77">
                  <c:v>347.07114580152665</c:v>
                </c:pt>
                <c:pt idx="78">
                  <c:v>496.47112031700294</c:v>
                </c:pt>
              </c:numCache>
            </c:numRef>
          </c:val>
          <c:extLst>
            <c:ext xmlns:c16="http://schemas.microsoft.com/office/drawing/2014/chart" uri="{C3380CC4-5D6E-409C-BE32-E72D297353CC}">
              <c16:uniqueId val="{00000002-816A-40B7-89F3-DA7F8CF2C564}"/>
            </c:ext>
          </c:extLst>
        </c:ser>
        <c:ser>
          <c:idx val="2"/>
          <c:order val="2"/>
          <c:tx>
            <c:strRef>
              <c:f>Kool!$BS$3</c:f>
              <c:strCache>
                <c:ptCount val="1"/>
                <c:pt idx="0">
                  <c:v>Teised KOV-id</c:v>
                </c:pt>
              </c:strCache>
            </c:strRef>
          </c:tx>
          <c:spPr>
            <a:solidFill>
              <a:schemeClr val="accent3"/>
            </a:solidFill>
            <a:ln>
              <a:noFill/>
            </a:ln>
            <a:effectLst/>
          </c:spPr>
          <c:invertIfNegative val="0"/>
          <c:cat>
            <c:strRef>
              <c:f>Kool!$A$4:$A$82</c:f>
              <c:strCache>
                <c:ptCount val="79"/>
                <c:pt idx="0">
                  <c:v>Tallinna linn</c:v>
                </c:pt>
                <c:pt idx="1">
                  <c:v>Anija vald</c:v>
                </c:pt>
                <c:pt idx="2">
                  <c:v>Harku vald</c:v>
                </c:pt>
                <c:pt idx="3">
                  <c:v>Jõelähtme vald</c:v>
                </c:pt>
                <c:pt idx="4">
                  <c:v>Keila linn</c:v>
                </c:pt>
                <c:pt idx="5">
                  <c:v>Kiili vald</c:v>
                </c:pt>
                <c:pt idx="6">
                  <c:v>Kose vald</c:v>
                </c:pt>
                <c:pt idx="7">
                  <c:v>Kuusalu vald</c:v>
                </c:pt>
                <c:pt idx="8">
                  <c:v>Loksa linn</c:v>
                </c:pt>
                <c:pt idx="9">
                  <c:v>Maardu linn</c:v>
                </c:pt>
                <c:pt idx="10">
                  <c:v>Raasiku vald</c:v>
                </c:pt>
                <c:pt idx="11">
                  <c:v>Rae vald</c:v>
                </c:pt>
                <c:pt idx="12">
                  <c:v>Saku vald</c:v>
                </c:pt>
                <c:pt idx="13">
                  <c:v>Saue vald</c:v>
                </c:pt>
                <c:pt idx="14">
                  <c:v>Viimsi vald</c:v>
                </c:pt>
                <c:pt idx="15">
                  <c:v>Lääne-Harju vald</c:v>
                </c:pt>
                <c:pt idx="16">
                  <c:v>Hiiumaa vald</c:v>
                </c:pt>
                <c:pt idx="17">
                  <c:v>Jõhvi vald</c:v>
                </c:pt>
                <c:pt idx="18">
                  <c:v>Kohtla-Järve linn</c:v>
                </c:pt>
                <c:pt idx="19">
                  <c:v>Lüganuse vald</c:v>
                </c:pt>
                <c:pt idx="20">
                  <c:v>Narva linn</c:v>
                </c:pt>
                <c:pt idx="21">
                  <c:v>Narva-Jõesuu linn</c:v>
                </c:pt>
                <c:pt idx="22">
                  <c:v>Sillamäe linn</c:v>
                </c:pt>
                <c:pt idx="23">
                  <c:v>Toila vald</c:v>
                </c:pt>
                <c:pt idx="24">
                  <c:v>Alutaguse vald</c:v>
                </c:pt>
                <c:pt idx="25">
                  <c:v>Paide linn</c:v>
                </c:pt>
                <c:pt idx="26">
                  <c:v>Türi vald</c:v>
                </c:pt>
                <c:pt idx="27">
                  <c:v>Järva vald</c:v>
                </c:pt>
                <c:pt idx="28">
                  <c:v>Jõgeva vald</c:v>
                </c:pt>
                <c:pt idx="29">
                  <c:v>Põltsamaa vald</c:v>
                </c:pt>
                <c:pt idx="30">
                  <c:v>Mustvee vald</c:v>
                </c:pt>
                <c:pt idx="31">
                  <c:v>Haapsalu linn</c:v>
                </c:pt>
                <c:pt idx="32">
                  <c:v>Vormsi vald</c:v>
                </c:pt>
                <c:pt idx="33">
                  <c:v>Lääne-Nigula vald</c:v>
                </c:pt>
                <c:pt idx="34">
                  <c:v>Haljala vald</c:v>
                </c:pt>
                <c:pt idx="35">
                  <c:v>Kadrina vald</c:v>
                </c:pt>
                <c:pt idx="36">
                  <c:v>Rakvere linn</c:v>
                </c:pt>
                <c:pt idx="37">
                  <c:v>Rakvere vald</c:v>
                </c:pt>
                <c:pt idx="38">
                  <c:v>Tapa vald</c:v>
                </c:pt>
                <c:pt idx="39">
                  <c:v>Vinni vald</c:v>
                </c:pt>
                <c:pt idx="40">
                  <c:v>Viru-Nigula vald</c:v>
                </c:pt>
                <c:pt idx="41">
                  <c:v>Väike-Maarja vald</c:v>
                </c:pt>
                <c:pt idx="42">
                  <c:v>Häädemeeste vald</c:v>
                </c:pt>
                <c:pt idx="43">
                  <c:v>Kihnu vald</c:v>
                </c:pt>
                <c:pt idx="44">
                  <c:v>Saarde vald</c:v>
                </c:pt>
                <c:pt idx="45">
                  <c:v>Pärnu linn</c:v>
                </c:pt>
                <c:pt idx="46">
                  <c:v>Tori vald</c:v>
                </c:pt>
                <c:pt idx="47">
                  <c:v>Põhja-Pärnumaa vald</c:v>
                </c:pt>
                <c:pt idx="48">
                  <c:v>Lääneranna vald</c:v>
                </c:pt>
                <c:pt idx="49">
                  <c:v>Kanepi vald</c:v>
                </c:pt>
                <c:pt idx="50">
                  <c:v>Põlva vald</c:v>
                </c:pt>
                <c:pt idx="51">
                  <c:v>Räpina vald</c:v>
                </c:pt>
                <c:pt idx="52">
                  <c:v>Kehtna vald</c:v>
                </c:pt>
                <c:pt idx="53">
                  <c:v>Kohila vald</c:v>
                </c:pt>
                <c:pt idx="54">
                  <c:v>Märjamaa vald</c:v>
                </c:pt>
                <c:pt idx="55">
                  <c:v>Rapla vald</c:v>
                </c:pt>
                <c:pt idx="56">
                  <c:v>Muhu vald</c:v>
                </c:pt>
                <c:pt idx="57">
                  <c:v>Ruhnu vald</c:v>
                </c:pt>
                <c:pt idx="58">
                  <c:v>Saaremaa vald</c:v>
                </c:pt>
                <c:pt idx="59">
                  <c:v>Kambja vald</c:v>
                </c:pt>
                <c:pt idx="60">
                  <c:v>Luunja vald</c:v>
                </c:pt>
                <c:pt idx="61">
                  <c:v>Nõo vald</c:v>
                </c:pt>
                <c:pt idx="62">
                  <c:v>Peipsiääre vald</c:v>
                </c:pt>
                <c:pt idx="63">
                  <c:v>Tartu linn</c:v>
                </c:pt>
                <c:pt idx="64">
                  <c:v>Tartu vald</c:v>
                </c:pt>
                <c:pt idx="65">
                  <c:v>Elva vald</c:v>
                </c:pt>
                <c:pt idx="66">
                  <c:v>Kastre vald</c:v>
                </c:pt>
                <c:pt idx="67">
                  <c:v>Mulgi vald</c:v>
                </c:pt>
                <c:pt idx="68">
                  <c:v>Viljandi linn</c:v>
                </c:pt>
                <c:pt idx="69">
                  <c:v>Viljandi vald</c:v>
                </c:pt>
                <c:pt idx="70">
                  <c:v>Põhja-Sakala vald</c:v>
                </c:pt>
                <c:pt idx="71">
                  <c:v>Otepää vald</c:v>
                </c:pt>
                <c:pt idx="72">
                  <c:v>Valga vald</c:v>
                </c:pt>
                <c:pt idx="73">
                  <c:v>Tõrva vald</c:v>
                </c:pt>
                <c:pt idx="74">
                  <c:v>Antsla vald</c:v>
                </c:pt>
                <c:pt idx="75">
                  <c:v>Rõuge vald</c:v>
                </c:pt>
                <c:pt idx="76">
                  <c:v>Võru linn</c:v>
                </c:pt>
                <c:pt idx="77">
                  <c:v>Võru vald</c:v>
                </c:pt>
                <c:pt idx="78">
                  <c:v>Setomaa vald</c:v>
                </c:pt>
              </c:strCache>
            </c:strRef>
          </c:cat>
          <c:val>
            <c:numRef>
              <c:f>Kool!$BS$4:$BS$82</c:f>
              <c:numCache>
                <c:formatCode>#,##0</c:formatCode>
                <c:ptCount val="79"/>
                <c:pt idx="0">
                  <c:v>8.9223461576839895</c:v>
                </c:pt>
                <c:pt idx="1">
                  <c:v>12.503263052208865</c:v>
                </c:pt>
                <c:pt idx="2">
                  <c:v>7.0912290872949484</c:v>
                </c:pt>
                <c:pt idx="3">
                  <c:v>9.9647070015220152</c:v>
                </c:pt>
                <c:pt idx="4">
                  <c:v>23.943203604294411</c:v>
                </c:pt>
                <c:pt idx="5">
                  <c:v>3.7057128745472312</c:v>
                </c:pt>
                <c:pt idx="6">
                  <c:v>5.1574640562863578</c:v>
                </c:pt>
                <c:pt idx="7">
                  <c:v>13.307348043297168</c:v>
                </c:pt>
                <c:pt idx="8">
                  <c:v>36.304022082018889</c:v>
                </c:pt>
                <c:pt idx="9">
                  <c:v>22.168545081967238</c:v>
                </c:pt>
                <c:pt idx="10">
                  <c:v>11.146454265159321</c:v>
                </c:pt>
                <c:pt idx="11">
                  <c:v>4.4903542616626169</c:v>
                </c:pt>
                <c:pt idx="12">
                  <c:v>6.3052944306490986</c:v>
                </c:pt>
                <c:pt idx="13">
                  <c:v>3.6774755927474985</c:v>
                </c:pt>
                <c:pt idx="14">
                  <c:v>5.4744372400293742</c:v>
                </c:pt>
                <c:pt idx="15">
                  <c:v>8.8720520466249582</c:v>
                </c:pt>
                <c:pt idx="16">
                  <c:v>3.5054573804574147</c:v>
                </c:pt>
                <c:pt idx="17">
                  <c:v>22.330992229527794</c:v>
                </c:pt>
                <c:pt idx="18">
                  <c:v>10.418227265513337</c:v>
                </c:pt>
                <c:pt idx="19">
                  <c:v>7.4445876288659747</c:v>
                </c:pt>
                <c:pt idx="20">
                  <c:v>4.2407123719093534</c:v>
                </c:pt>
                <c:pt idx="21">
                  <c:v>47.953690303907365</c:v>
                </c:pt>
                <c:pt idx="22">
                  <c:v>8.8231407498463454</c:v>
                </c:pt>
                <c:pt idx="23">
                  <c:v>29.184632034632159</c:v>
                </c:pt>
                <c:pt idx="24">
                  <c:v>19.975000000000136</c:v>
                </c:pt>
                <c:pt idx="25">
                  <c:v>7.130324543610584</c:v>
                </c:pt>
                <c:pt idx="26">
                  <c:v>9.1093497250080873</c:v>
                </c:pt>
                <c:pt idx="27">
                  <c:v>0</c:v>
                </c:pt>
                <c:pt idx="28">
                  <c:v>8.1285939211390996</c:v>
                </c:pt>
                <c:pt idx="29">
                  <c:v>9.7693110647181811</c:v>
                </c:pt>
                <c:pt idx="30">
                  <c:v>20.798979591836655</c:v>
                </c:pt>
                <c:pt idx="31">
                  <c:v>3.5869351669941807</c:v>
                </c:pt>
                <c:pt idx="32">
                  <c:v>14.763157894737105</c:v>
                </c:pt>
                <c:pt idx="33">
                  <c:v>18.932640888523281</c:v>
                </c:pt>
                <c:pt idx="34">
                  <c:v>6.9769150052466671</c:v>
                </c:pt>
                <c:pt idx="35">
                  <c:v>14.699684708355164</c:v>
                </c:pt>
                <c:pt idx="36">
                  <c:v>15.372390285470829</c:v>
                </c:pt>
                <c:pt idx="37">
                  <c:v>69.197106697819265</c:v>
                </c:pt>
                <c:pt idx="38">
                  <c:v>9.5503076923077401</c:v>
                </c:pt>
                <c:pt idx="39">
                  <c:v>10.63805787150568</c:v>
                </c:pt>
                <c:pt idx="40">
                  <c:v>5.6664259927798071</c:v>
                </c:pt>
                <c:pt idx="41">
                  <c:v>5.4037645811241077</c:v>
                </c:pt>
                <c:pt idx="42">
                  <c:v>5.5512866333095303</c:v>
                </c:pt>
                <c:pt idx="43">
                  <c:v>0</c:v>
                </c:pt>
                <c:pt idx="44">
                  <c:v>13.081773799837322</c:v>
                </c:pt>
                <c:pt idx="45">
                  <c:v>14.846828942787454</c:v>
                </c:pt>
                <c:pt idx="46">
                  <c:v>8.96655953474135</c:v>
                </c:pt>
                <c:pt idx="47">
                  <c:v>4.472966728281051</c:v>
                </c:pt>
                <c:pt idx="48">
                  <c:v>5.752777777777851</c:v>
                </c:pt>
                <c:pt idx="49">
                  <c:v>9.0910638297872879</c:v>
                </c:pt>
                <c:pt idx="50">
                  <c:v>13.777344943476919</c:v>
                </c:pt>
                <c:pt idx="51">
                  <c:v>5.690041974479584</c:v>
                </c:pt>
                <c:pt idx="52">
                  <c:v>8.8792134831461453</c:v>
                </c:pt>
                <c:pt idx="53">
                  <c:v>10.40205187766162</c:v>
                </c:pt>
                <c:pt idx="54">
                  <c:v>8.1249999999999432</c:v>
                </c:pt>
                <c:pt idx="55">
                  <c:v>8.0333057264552963</c:v>
                </c:pt>
                <c:pt idx="56">
                  <c:v>46.943863049095512</c:v>
                </c:pt>
                <c:pt idx="57">
                  <c:v>0</c:v>
                </c:pt>
                <c:pt idx="58">
                  <c:v>3.6435199748348737</c:v>
                </c:pt>
                <c:pt idx="59">
                  <c:v>9.4567326162120935</c:v>
                </c:pt>
                <c:pt idx="60">
                  <c:v>16.608098833218946</c:v>
                </c:pt>
                <c:pt idx="61">
                  <c:v>13.416500332668022</c:v>
                </c:pt>
                <c:pt idx="62">
                  <c:v>12.068814708299044</c:v>
                </c:pt>
                <c:pt idx="63">
                  <c:v>19.137690973550605</c:v>
                </c:pt>
                <c:pt idx="64">
                  <c:v>10.367563117453358</c:v>
                </c:pt>
                <c:pt idx="65">
                  <c:v>9.4902833620525371</c:v>
                </c:pt>
                <c:pt idx="66">
                  <c:v>7.9499698613622058</c:v>
                </c:pt>
                <c:pt idx="67">
                  <c:v>14.236047691527119</c:v>
                </c:pt>
                <c:pt idx="68">
                  <c:v>21.872725756227794</c:v>
                </c:pt>
                <c:pt idx="69">
                  <c:v>13.706937307297039</c:v>
                </c:pt>
                <c:pt idx="70">
                  <c:v>43.634457878315118</c:v>
                </c:pt>
                <c:pt idx="71">
                  <c:v>14.53056768558946</c:v>
                </c:pt>
                <c:pt idx="72">
                  <c:v>3.0801784748512091</c:v>
                </c:pt>
                <c:pt idx="73">
                  <c:v>3.9041016753321856</c:v>
                </c:pt>
                <c:pt idx="74">
                  <c:v>9.696499158957181</c:v>
                </c:pt>
                <c:pt idx="75">
                  <c:v>14.010193679918473</c:v>
                </c:pt>
                <c:pt idx="76">
                  <c:v>23.957898550724622</c:v>
                </c:pt>
                <c:pt idx="77">
                  <c:v>19.23725190839707</c:v>
                </c:pt>
                <c:pt idx="78">
                  <c:v>21.046109510086467</c:v>
                </c:pt>
              </c:numCache>
            </c:numRef>
          </c:val>
          <c:extLst>
            <c:ext xmlns:c16="http://schemas.microsoft.com/office/drawing/2014/chart" uri="{C3380CC4-5D6E-409C-BE32-E72D297353CC}">
              <c16:uniqueId val="{00000003-816A-40B7-89F3-DA7F8CF2C564}"/>
            </c:ext>
          </c:extLst>
        </c:ser>
        <c:dLbls>
          <c:showLegendKey val="0"/>
          <c:showVal val="0"/>
          <c:showCatName val="0"/>
          <c:showSerName val="0"/>
          <c:showPercent val="0"/>
          <c:showBubbleSize val="0"/>
        </c:dLbls>
        <c:gapWidth val="150"/>
        <c:overlap val="100"/>
        <c:axId val="1397691631"/>
        <c:axId val="1397693071"/>
      </c:barChart>
      <c:catAx>
        <c:axId val="13976916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397693071"/>
        <c:crosses val="autoZero"/>
        <c:auto val="1"/>
        <c:lblAlgn val="ctr"/>
        <c:lblOffset val="100"/>
        <c:noMultiLvlLbl val="0"/>
      </c:catAx>
      <c:valAx>
        <c:axId val="139769307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3976916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t-EE"/>
              <a:t>Koolikoha kulu jaotus 2025</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t-EE"/>
        </a:p>
      </c:txPr>
    </c:title>
    <c:autoTitleDeleted val="0"/>
    <c:plotArea>
      <c:layout/>
      <c:pie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3478-4FC6-91E5-6FB0995146A0}"/>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3478-4FC6-91E5-6FB0995146A0}"/>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3478-4FC6-91E5-6FB0995146A0}"/>
              </c:ext>
            </c:extLst>
          </c:dPt>
          <c:dLbls>
            <c:dLbl>
              <c:idx val="0"/>
              <c:layout>
                <c:manualLayout>
                  <c:x val="-0.19419942933962531"/>
                  <c:y val="-0.13445361353844504"/>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478-4FC6-91E5-6FB0995146A0}"/>
                </c:ext>
              </c:extLst>
            </c:dLbl>
            <c:dLbl>
              <c:idx val="1"/>
              <c:layout>
                <c:manualLayout>
                  <c:x val="0.18491741885922797"/>
                  <c:y val="3.986250861009441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478-4FC6-91E5-6FB0995146A0}"/>
                </c:ext>
              </c:extLst>
            </c:dLbl>
            <c:dLbl>
              <c:idx val="2"/>
              <c:layout>
                <c:manualLayout>
                  <c:x val="0.10650031550934182"/>
                  <c:y val="0.18540916519225831"/>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lt1"/>
                      </a:solidFill>
                      <a:latin typeface="+mn-lt"/>
                      <a:ea typeface="+mn-ea"/>
                      <a:cs typeface="+mn-cs"/>
                    </a:defRPr>
                  </a:pPr>
                  <a:endParaRPr lang="et-EE"/>
                </a:p>
              </c:txPr>
              <c:dLblPos val="bestFit"/>
              <c:showLegendKey val="0"/>
              <c:showVal val="1"/>
              <c:showCatName val="1"/>
              <c:showSerName val="0"/>
              <c:showPercent val="1"/>
              <c:showBubbleSize val="0"/>
              <c:extLst>
                <c:ext xmlns:c15="http://schemas.microsoft.com/office/drawing/2012/chart" uri="{CE6537A1-D6FC-4f65-9D91-7224C49458BB}">
                  <c15:layout>
                    <c:manualLayout>
                      <c:w val="0.15544418228209278"/>
                      <c:h val="0.13711835334476843"/>
                    </c:manualLayout>
                  </c15:layout>
                </c:ext>
                <c:ext xmlns:c16="http://schemas.microsoft.com/office/drawing/2014/chart" uri="{C3380CC4-5D6E-409C-BE32-E72D297353CC}">
                  <c16:uniqueId val="{00000005-3478-4FC6-91E5-6FB0995146A0}"/>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t-EE"/>
              </a:p>
            </c:txPr>
            <c:dLblPos val="inEnd"/>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Kool!$BK$3:$BM$3</c:f>
              <c:strCache>
                <c:ptCount val="3"/>
                <c:pt idx="0">
                  <c:v>sh tööjõukulud</c:v>
                </c:pt>
                <c:pt idx="1">
                  <c:v>sh amort, üür ja rent</c:v>
                </c:pt>
                <c:pt idx="2">
                  <c:v>sh majandamiskulu (v.a üür ja rent) jms</c:v>
                </c:pt>
              </c:strCache>
            </c:strRef>
          </c:cat>
          <c:val>
            <c:numRef>
              <c:f>Kool!$BK$83:$BM$83</c:f>
              <c:numCache>
                <c:formatCode>#,##0</c:formatCode>
                <c:ptCount val="3"/>
                <c:pt idx="0">
                  <c:v>371.12028495267964</c:v>
                </c:pt>
                <c:pt idx="1">
                  <c:v>36.992562703089327</c:v>
                </c:pt>
                <c:pt idx="2">
                  <c:v>79.380989812208497</c:v>
                </c:pt>
              </c:numCache>
            </c:numRef>
          </c:val>
          <c:extLst>
            <c:ext xmlns:c16="http://schemas.microsoft.com/office/drawing/2014/chart" uri="{C3380CC4-5D6E-409C-BE32-E72D297353CC}">
              <c16:uniqueId val="{00000006-3478-4FC6-91E5-6FB0995146A0}"/>
            </c:ext>
          </c:extLst>
        </c:ser>
        <c:dLbls>
          <c:dLblPos val="inEnd"/>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t-EE"/>
              <a:t>Koolikoha kulud katteallika lõikes 2025</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t-EE"/>
        </a:p>
      </c:txPr>
    </c:title>
    <c:autoTitleDeleted val="0"/>
    <c:plotArea>
      <c:layout/>
      <c:pie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11C1-40B4-B674-A38BA1E7F249}"/>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11C1-40B4-B674-A38BA1E7F249}"/>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11C1-40B4-B674-A38BA1E7F249}"/>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11C1-40B4-B674-A38BA1E7F249}"/>
              </c:ext>
            </c:extLst>
          </c:dPt>
          <c:dLbls>
            <c:dLbl>
              <c:idx val="0"/>
              <c:layout>
                <c:manualLayout>
                  <c:x val="-0.12763020174172413"/>
                  <c:y val="9.1938520549425251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1C1-40B4-B674-A38BA1E7F249}"/>
                </c:ext>
              </c:extLst>
            </c:dLbl>
            <c:dLbl>
              <c:idx val="1"/>
              <c:layout>
                <c:manualLayout>
                  <c:x val="0.20214821757184784"/>
                  <c:y val="-9.6078389000688935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11C1-40B4-B674-A38BA1E7F24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t-EE"/>
              </a:p>
            </c:txPr>
            <c:dLblPos val="inEnd"/>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Kool!$BQ$3:$BS$3</c:f>
              <c:strCache>
                <c:ptCount val="3"/>
                <c:pt idx="0">
                  <c:v>KOV</c:v>
                </c:pt>
                <c:pt idx="1">
                  <c:v>Toetused ja teenused</c:v>
                </c:pt>
                <c:pt idx="2">
                  <c:v>Teised KOV-id</c:v>
                </c:pt>
              </c:strCache>
            </c:strRef>
          </c:cat>
          <c:val>
            <c:numRef>
              <c:f>Kool!$BQ$83:$BS$83</c:f>
              <c:numCache>
                <c:formatCode>#,##0</c:formatCode>
                <c:ptCount val="3"/>
                <c:pt idx="0">
                  <c:v>169.70164022501854</c:v>
                </c:pt>
                <c:pt idx="1">
                  <c:v>306.63366509326715</c:v>
                </c:pt>
                <c:pt idx="2">
                  <c:v>11.15853214969178</c:v>
                </c:pt>
              </c:numCache>
            </c:numRef>
          </c:val>
          <c:extLst>
            <c:ext xmlns:c16="http://schemas.microsoft.com/office/drawing/2014/chart" uri="{C3380CC4-5D6E-409C-BE32-E72D297353CC}">
              <c16:uniqueId val="{00000008-11C1-40B4-B674-A38BA1E7F249}"/>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t-EE"/>
              <a:t>Koolikoha kohamaksumus KOV gruppide lõikes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t-EE"/>
        </a:p>
      </c:txPr>
    </c:title>
    <c:autoTitleDeleted val="0"/>
    <c:plotArea>
      <c:layout/>
      <c:barChart>
        <c:barDir val="col"/>
        <c:grouping val="stacked"/>
        <c:varyColors val="0"/>
        <c:ser>
          <c:idx val="0"/>
          <c:order val="0"/>
          <c:tx>
            <c:strRef>
              <c:f>Kool!$BK$3</c:f>
              <c:strCache>
                <c:ptCount val="1"/>
                <c:pt idx="0">
                  <c:v>sh tööjõukulud</c:v>
                </c:pt>
              </c:strCache>
            </c:strRef>
          </c:tx>
          <c:spPr>
            <a:solidFill>
              <a:schemeClr val="accent1"/>
            </a:solidFill>
            <a:ln>
              <a:noFill/>
            </a:ln>
            <a:effectLst/>
          </c:spPr>
          <c:invertIfNegative val="0"/>
          <c:cat>
            <c:strRef>
              <c:f>(Kool!$A$90:$A$92,Kool!$A$95:$A$97,Kool!$A$100:$A$103)</c:f>
              <c:strCache>
                <c:ptCount val="10"/>
                <c:pt idx="0">
                  <c:v>Keskuslik</c:v>
                </c:pt>
                <c:pt idx="1">
                  <c:v>Keskus-tagamaaline</c:v>
                </c:pt>
                <c:pt idx="2">
                  <c:v>Tagamaaline</c:v>
                </c:pt>
                <c:pt idx="3">
                  <c:v>Tulukas</c:v>
                </c:pt>
                <c:pt idx="4">
                  <c:v>Keskmiselt tulukas</c:v>
                </c:pt>
                <c:pt idx="5">
                  <c:v>Toimetulev</c:v>
                </c:pt>
                <c:pt idx="6">
                  <c:v>&gt;16 000 el</c:v>
                </c:pt>
                <c:pt idx="7">
                  <c:v>8000-15999 el</c:v>
                </c:pt>
                <c:pt idx="8">
                  <c:v>4000-7999 el</c:v>
                </c:pt>
                <c:pt idx="9">
                  <c:v>&lt;4000 el</c:v>
                </c:pt>
              </c:strCache>
            </c:strRef>
          </c:cat>
          <c:val>
            <c:numRef>
              <c:f>(Kool!$BK$90:$BK$92,Kool!$BK$95:$BK$97,Kool!$BK$100:$BK$103)</c:f>
              <c:numCache>
                <c:formatCode>#,##0</c:formatCode>
                <c:ptCount val="10"/>
                <c:pt idx="0">
                  <c:v>339.16924943178856</c:v>
                </c:pt>
                <c:pt idx="1">
                  <c:v>415.24304645190932</c:v>
                </c:pt>
                <c:pt idx="2">
                  <c:v>488.97011439188731</c:v>
                </c:pt>
                <c:pt idx="3">
                  <c:v>341.3455531509041</c:v>
                </c:pt>
                <c:pt idx="4">
                  <c:v>353.34458682882746</c:v>
                </c:pt>
                <c:pt idx="5">
                  <c:v>410.29621699604741</c:v>
                </c:pt>
                <c:pt idx="6">
                  <c:v>339.92318673918675</c:v>
                </c:pt>
                <c:pt idx="7">
                  <c:v>403.37841184376117</c:v>
                </c:pt>
                <c:pt idx="8">
                  <c:v>453.98123663037586</c:v>
                </c:pt>
                <c:pt idx="9">
                  <c:v>594.20404162248144</c:v>
                </c:pt>
              </c:numCache>
            </c:numRef>
          </c:val>
          <c:extLst>
            <c:ext xmlns:c16="http://schemas.microsoft.com/office/drawing/2014/chart" uri="{C3380CC4-5D6E-409C-BE32-E72D297353CC}">
              <c16:uniqueId val="{00000000-3258-49A4-8424-9D32C2642388}"/>
            </c:ext>
          </c:extLst>
        </c:ser>
        <c:ser>
          <c:idx val="1"/>
          <c:order val="1"/>
          <c:tx>
            <c:strRef>
              <c:f>Kool!$BL$3</c:f>
              <c:strCache>
                <c:ptCount val="1"/>
                <c:pt idx="0">
                  <c:v>sh amort, üür ja rent</c:v>
                </c:pt>
              </c:strCache>
            </c:strRef>
          </c:tx>
          <c:spPr>
            <a:solidFill>
              <a:schemeClr val="accent2"/>
            </a:solidFill>
            <a:ln>
              <a:noFill/>
            </a:ln>
            <a:effectLst/>
          </c:spPr>
          <c:invertIfNegative val="0"/>
          <c:cat>
            <c:strRef>
              <c:f>(Kool!$A$90:$A$92,Kool!$A$95:$A$97,Kool!$A$100:$A$103)</c:f>
              <c:strCache>
                <c:ptCount val="10"/>
                <c:pt idx="0">
                  <c:v>Keskuslik</c:v>
                </c:pt>
                <c:pt idx="1">
                  <c:v>Keskus-tagamaaline</c:v>
                </c:pt>
                <c:pt idx="2">
                  <c:v>Tagamaaline</c:v>
                </c:pt>
                <c:pt idx="3">
                  <c:v>Tulukas</c:v>
                </c:pt>
                <c:pt idx="4">
                  <c:v>Keskmiselt tulukas</c:v>
                </c:pt>
                <c:pt idx="5">
                  <c:v>Toimetulev</c:v>
                </c:pt>
                <c:pt idx="6">
                  <c:v>&gt;16 000 el</c:v>
                </c:pt>
                <c:pt idx="7">
                  <c:v>8000-15999 el</c:v>
                </c:pt>
                <c:pt idx="8">
                  <c:v>4000-7999 el</c:v>
                </c:pt>
                <c:pt idx="9">
                  <c:v>&lt;4000 el</c:v>
                </c:pt>
              </c:strCache>
            </c:strRef>
          </c:cat>
          <c:val>
            <c:numRef>
              <c:f>(Kool!$BL$90:$BL$92,Kool!$BL$95:$BL$97,Kool!$BL$100:$BL$103)</c:f>
              <c:numCache>
                <c:formatCode>#,##0</c:formatCode>
                <c:ptCount val="10"/>
                <c:pt idx="0">
                  <c:v>35.085939387893184</c:v>
                </c:pt>
                <c:pt idx="1">
                  <c:v>41.624896444076519</c:v>
                </c:pt>
                <c:pt idx="2">
                  <c:v>40.024939614067286</c:v>
                </c:pt>
                <c:pt idx="3">
                  <c:v>38.679169395540853</c:v>
                </c:pt>
                <c:pt idx="4">
                  <c:v>33.219284810603206</c:v>
                </c:pt>
                <c:pt idx="5">
                  <c:v>36.631893544137029</c:v>
                </c:pt>
                <c:pt idx="6">
                  <c:v>35.987758417508417</c:v>
                </c:pt>
                <c:pt idx="7">
                  <c:v>38.421655981928431</c:v>
                </c:pt>
                <c:pt idx="8">
                  <c:v>38.970054476230011</c:v>
                </c:pt>
                <c:pt idx="9">
                  <c:v>49.054487009544012</c:v>
                </c:pt>
              </c:numCache>
            </c:numRef>
          </c:val>
          <c:extLst>
            <c:ext xmlns:c16="http://schemas.microsoft.com/office/drawing/2014/chart" uri="{C3380CC4-5D6E-409C-BE32-E72D297353CC}">
              <c16:uniqueId val="{00000001-3258-49A4-8424-9D32C2642388}"/>
            </c:ext>
          </c:extLst>
        </c:ser>
        <c:ser>
          <c:idx val="2"/>
          <c:order val="2"/>
          <c:tx>
            <c:strRef>
              <c:f>Kool!$BM$3</c:f>
              <c:strCache>
                <c:ptCount val="1"/>
                <c:pt idx="0">
                  <c:v>sh majandamiskulu (v.a üür ja rent) jms</c:v>
                </c:pt>
              </c:strCache>
            </c:strRef>
          </c:tx>
          <c:spPr>
            <a:solidFill>
              <a:schemeClr val="accent3"/>
            </a:solidFill>
            <a:ln>
              <a:noFill/>
            </a:ln>
            <a:effectLst/>
          </c:spPr>
          <c:invertIfNegative val="0"/>
          <c:cat>
            <c:strRef>
              <c:f>(Kool!$A$90:$A$92,Kool!$A$95:$A$97,Kool!$A$100:$A$103)</c:f>
              <c:strCache>
                <c:ptCount val="10"/>
                <c:pt idx="0">
                  <c:v>Keskuslik</c:v>
                </c:pt>
                <c:pt idx="1">
                  <c:v>Keskus-tagamaaline</c:v>
                </c:pt>
                <c:pt idx="2">
                  <c:v>Tagamaaline</c:v>
                </c:pt>
                <c:pt idx="3">
                  <c:v>Tulukas</c:v>
                </c:pt>
                <c:pt idx="4">
                  <c:v>Keskmiselt tulukas</c:v>
                </c:pt>
                <c:pt idx="5">
                  <c:v>Toimetulev</c:v>
                </c:pt>
                <c:pt idx="6">
                  <c:v>&gt;16 000 el</c:v>
                </c:pt>
                <c:pt idx="7">
                  <c:v>8000-15999 el</c:v>
                </c:pt>
                <c:pt idx="8">
                  <c:v>4000-7999 el</c:v>
                </c:pt>
                <c:pt idx="9">
                  <c:v>&lt;4000 el</c:v>
                </c:pt>
              </c:strCache>
            </c:strRef>
          </c:cat>
          <c:val>
            <c:numRef>
              <c:f>(Kool!$BM$90:$BM$92,Kool!$BM$95:$BM$97,Kool!$BM$100:$BM$103)</c:f>
              <c:numCache>
                <c:formatCode>#,##0</c:formatCode>
                <c:ptCount val="10"/>
                <c:pt idx="0">
                  <c:v>70.856272359585034</c:v>
                </c:pt>
                <c:pt idx="1">
                  <c:v>91.851646927461275</c:v>
                </c:pt>
                <c:pt idx="2">
                  <c:v>109.42661519287842</c:v>
                </c:pt>
                <c:pt idx="3">
                  <c:v>80.458200485932807</c:v>
                </c:pt>
                <c:pt idx="4">
                  <c:v>66.415953298855527</c:v>
                </c:pt>
                <c:pt idx="5">
                  <c:v>83.254315219592741</c:v>
                </c:pt>
                <c:pt idx="6">
                  <c:v>70.779360096288542</c:v>
                </c:pt>
                <c:pt idx="7">
                  <c:v>91.75244891298081</c:v>
                </c:pt>
                <c:pt idx="8">
                  <c:v>97.271931068105289</c:v>
                </c:pt>
                <c:pt idx="9">
                  <c:v>144.28101737808504</c:v>
                </c:pt>
              </c:numCache>
            </c:numRef>
          </c:val>
          <c:extLst>
            <c:ext xmlns:c16="http://schemas.microsoft.com/office/drawing/2014/chart" uri="{C3380CC4-5D6E-409C-BE32-E72D297353CC}">
              <c16:uniqueId val="{00000002-3258-49A4-8424-9D32C2642388}"/>
            </c:ext>
          </c:extLst>
        </c:ser>
        <c:dLbls>
          <c:showLegendKey val="0"/>
          <c:showVal val="0"/>
          <c:showCatName val="0"/>
          <c:showSerName val="0"/>
          <c:showPercent val="0"/>
          <c:showBubbleSize val="0"/>
        </c:dLbls>
        <c:gapWidth val="150"/>
        <c:overlap val="100"/>
        <c:axId val="890541376"/>
        <c:axId val="890543296"/>
      </c:barChart>
      <c:catAx>
        <c:axId val="890541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890543296"/>
        <c:crosses val="autoZero"/>
        <c:auto val="1"/>
        <c:lblAlgn val="ctr"/>
        <c:lblOffset val="100"/>
        <c:noMultiLvlLbl val="0"/>
      </c:catAx>
      <c:valAx>
        <c:axId val="8905432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8905413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t-EE"/>
              <a:t>Koolikoha</a:t>
            </a:r>
            <a:r>
              <a:rPr lang="et-EE" baseline="0"/>
              <a:t> kohamaksumus katteallikate lõikes 2025</a:t>
            </a:r>
            <a:endParaRPr lang="et-E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t-EE"/>
        </a:p>
      </c:txPr>
    </c:title>
    <c:autoTitleDeleted val="0"/>
    <c:plotArea>
      <c:layout/>
      <c:barChart>
        <c:barDir val="col"/>
        <c:grouping val="stacked"/>
        <c:varyColors val="0"/>
        <c:ser>
          <c:idx val="0"/>
          <c:order val="0"/>
          <c:tx>
            <c:strRef>
              <c:f>Kool!$BQ$3</c:f>
              <c:strCache>
                <c:ptCount val="1"/>
                <c:pt idx="0">
                  <c:v>KOV</c:v>
                </c:pt>
              </c:strCache>
            </c:strRef>
          </c:tx>
          <c:spPr>
            <a:solidFill>
              <a:schemeClr val="accent1"/>
            </a:solidFill>
            <a:ln>
              <a:noFill/>
            </a:ln>
            <a:effectLst/>
          </c:spPr>
          <c:invertIfNegative val="0"/>
          <c:cat>
            <c:strRef>
              <c:f>(Kool!$A$90:$A$92,Kool!$A$95:$A$97,Kool!$A$100:$A$103)</c:f>
              <c:strCache>
                <c:ptCount val="10"/>
                <c:pt idx="0">
                  <c:v>Keskuslik</c:v>
                </c:pt>
                <c:pt idx="1">
                  <c:v>Keskus-tagamaaline</c:v>
                </c:pt>
                <c:pt idx="2">
                  <c:v>Tagamaaline</c:v>
                </c:pt>
                <c:pt idx="3">
                  <c:v>Tulukas</c:v>
                </c:pt>
                <c:pt idx="4">
                  <c:v>Keskmiselt tulukas</c:v>
                </c:pt>
                <c:pt idx="5">
                  <c:v>Toimetulev</c:v>
                </c:pt>
                <c:pt idx="6">
                  <c:v>&gt;16 000 el</c:v>
                </c:pt>
                <c:pt idx="7">
                  <c:v>8000-15999 el</c:v>
                </c:pt>
                <c:pt idx="8">
                  <c:v>4000-7999 el</c:v>
                </c:pt>
                <c:pt idx="9">
                  <c:v>&lt;4000 el</c:v>
                </c:pt>
              </c:strCache>
            </c:strRef>
          </c:cat>
          <c:val>
            <c:numRef>
              <c:f>(Kool!$BQ$90:$BQ$92,Kool!$BQ$95:$BQ$97,Kool!$BQ$100:$BQ$103)</c:f>
              <c:numCache>
                <c:formatCode>#,##0</c:formatCode>
                <c:ptCount val="10"/>
                <c:pt idx="0">
                  <c:v>148.68673862257577</c:v>
                </c:pt>
                <c:pt idx="1">
                  <c:v>206.89140221994634</c:v>
                </c:pt>
                <c:pt idx="2">
                  <c:v>230.87009423968729</c:v>
                </c:pt>
                <c:pt idx="3">
                  <c:v>174.1088603601344</c:v>
                </c:pt>
                <c:pt idx="4">
                  <c:v>136.08844505275269</c:v>
                </c:pt>
                <c:pt idx="5">
                  <c:v>177.99416986752138</c:v>
                </c:pt>
                <c:pt idx="6">
                  <c:v>151.3626546073331</c:v>
                </c:pt>
                <c:pt idx="7">
                  <c:v>193.99685458037189</c:v>
                </c:pt>
                <c:pt idx="8">
                  <c:v>212.13892976706131</c:v>
                </c:pt>
                <c:pt idx="9">
                  <c:v>261.95527771742758</c:v>
                </c:pt>
              </c:numCache>
            </c:numRef>
          </c:val>
          <c:extLst>
            <c:ext xmlns:c16="http://schemas.microsoft.com/office/drawing/2014/chart" uri="{C3380CC4-5D6E-409C-BE32-E72D297353CC}">
              <c16:uniqueId val="{00000000-A963-439C-8300-837C99C1E933}"/>
            </c:ext>
          </c:extLst>
        </c:ser>
        <c:ser>
          <c:idx val="2"/>
          <c:order val="1"/>
          <c:tx>
            <c:strRef>
              <c:f>Kool!$BR$3</c:f>
              <c:strCache>
                <c:ptCount val="1"/>
                <c:pt idx="0">
                  <c:v>Toetused ja teenused</c:v>
                </c:pt>
              </c:strCache>
            </c:strRef>
          </c:tx>
          <c:spPr>
            <a:solidFill>
              <a:schemeClr val="accent3"/>
            </a:solidFill>
            <a:ln>
              <a:noFill/>
            </a:ln>
            <a:effectLst/>
          </c:spPr>
          <c:invertIfNegative val="0"/>
          <c:cat>
            <c:strRef>
              <c:f>(Kool!$A$90:$A$92,Kool!$A$95:$A$97,Kool!$A$100:$A$103)</c:f>
              <c:strCache>
                <c:ptCount val="10"/>
                <c:pt idx="0">
                  <c:v>Keskuslik</c:v>
                </c:pt>
                <c:pt idx="1">
                  <c:v>Keskus-tagamaaline</c:v>
                </c:pt>
                <c:pt idx="2">
                  <c:v>Tagamaaline</c:v>
                </c:pt>
                <c:pt idx="3">
                  <c:v>Tulukas</c:v>
                </c:pt>
                <c:pt idx="4">
                  <c:v>Keskmiselt tulukas</c:v>
                </c:pt>
                <c:pt idx="5">
                  <c:v>Toimetulev</c:v>
                </c:pt>
                <c:pt idx="6">
                  <c:v>&gt;16 000 el</c:v>
                </c:pt>
                <c:pt idx="7">
                  <c:v>8000-15999 el</c:v>
                </c:pt>
                <c:pt idx="8">
                  <c:v>4000-7999 el</c:v>
                </c:pt>
                <c:pt idx="9">
                  <c:v>&lt;4000 el</c:v>
                </c:pt>
              </c:strCache>
            </c:strRef>
          </c:cat>
          <c:val>
            <c:numRef>
              <c:f>(Kool!$BR$90:$BR$92,Kool!$BR$95:$BR$97,Kool!$BR$100:$BR$103)</c:f>
              <c:numCache>
                <c:formatCode>#,##0</c:formatCode>
                <c:ptCount val="10"/>
                <c:pt idx="0">
                  <c:v>285.14535142356465</c:v>
                </c:pt>
                <c:pt idx="1">
                  <c:v>332.51570203755119</c:v>
                </c:pt>
                <c:pt idx="2">
                  <c:v>393.47927564863113</c:v>
                </c:pt>
                <c:pt idx="3">
                  <c:v>278.04633015054736</c:v>
                </c:pt>
                <c:pt idx="4">
                  <c:v>298.1059324120792</c:v>
                </c:pt>
                <c:pt idx="5">
                  <c:v>340.92740739276826</c:v>
                </c:pt>
                <c:pt idx="6">
                  <c:v>284.80810974210971</c:v>
                </c:pt>
                <c:pt idx="7">
                  <c:v>328.53667067940086</c:v>
                </c:pt>
                <c:pt idx="8">
                  <c:v>364.54215705916175</c:v>
                </c:pt>
                <c:pt idx="9">
                  <c:v>495.55694856839881</c:v>
                </c:pt>
              </c:numCache>
            </c:numRef>
          </c:val>
          <c:extLst>
            <c:ext xmlns:c16="http://schemas.microsoft.com/office/drawing/2014/chart" uri="{C3380CC4-5D6E-409C-BE32-E72D297353CC}">
              <c16:uniqueId val="{00000002-A963-439C-8300-837C99C1E933}"/>
            </c:ext>
          </c:extLst>
        </c:ser>
        <c:ser>
          <c:idx val="3"/>
          <c:order val="2"/>
          <c:tx>
            <c:strRef>
              <c:f>Kool!$BS$3</c:f>
              <c:strCache>
                <c:ptCount val="1"/>
                <c:pt idx="0">
                  <c:v>Teised KOV-id</c:v>
                </c:pt>
              </c:strCache>
            </c:strRef>
          </c:tx>
          <c:spPr>
            <a:solidFill>
              <a:schemeClr val="accent4"/>
            </a:solidFill>
            <a:ln>
              <a:noFill/>
            </a:ln>
            <a:effectLst/>
          </c:spPr>
          <c:invertIfNegative val="0"/>
          <c:cat>
            <c:strRef>
              <c:f>(Kool!$A$90:$A$92,Kool!$A$95:$A$97,Kool!$A$100:$A$103)</c:f>
              <c:strCache>
                <c:ptCount val="10"/>
                <c:pt idx="0">
                  <c:v>Keskuslik</c:v>
                </c:pt>
                <c:pt idx="1">
                  <c:v>Keskus-tagamaaline</c:v>
                </c:pt>
                <c:pt idx="2">
                  <c:v>Tagamaaline</c:v>
                </c:pt>
                <c:pt idx="3">
                  <c:v>Tulukas</c:v>
                </c:pt>
                <c:pt idx="4">
                  <c:v>Keskmiselt tulukas</c:v>
                </c:pt>
                <c:pt idx="5">
                  <c:v>Toimetulev</c:v>
                </c:pt>
                <c:pt idx="6">
                  <c:v>&gt;16 000 el</c:v>
                </c:pt>
                <c:pt idx="7">
                  <c:v>8000-15999 el</c:v>
                </c:pt>
                <c:pt idx="8">
                  <c:v>4000-7999 el</c:v>
                </c:pt>
                <c:pt idx="9">
                  <c:v>&lt;4000 el</c:v>
                </c:pt>
              </c:strCache>
            </c:strRef>
          </c:cat>
          <c:val>
            <c:numRef>
              <c:f>(Kool!$BS$90:$BS$92,Kool!$BS$95:$BS$97,Kool!$BS$100:$BS$103)</c:f>
              <c:numCache>
                <c:formatCode>#,##0</c:formatCode>
                <c:ptCount val="10"/>
                <c:pt idx="0">
                  <c:v>11.279371133126347</c:v>
                </c:pt>
                <c:pt idx="1">
                  <c:v>9.3124855659495438</c:v>
                </c:pt>
                <c:pt idx="2">
                  <c:v>14.072299310514552</c:v>
                </c:pt>
                <c:pt idx="3">
                  <c:v>8.3277325216959639</c:v>
                </c:pt>
                <c:pt idx="4">
                  <c:v>18.785447473454326</c:v>
                </c:pt>
                <c:pt idx="5">
                  <c:v>11.260848499487565</c:v>
                </c:pt>
                <c:pt idx="6">
                  <c:v>10.519540903540872</c:v>
                </c:pt>
                <c:pt idx="7">
                  <c:v>11.018991478897703</c:v>
                </c:pt>
                <c:pt idx="8">
                  <c:v>13.542135348488102</c:v>
                </c:pt>
                <c:pt idx="9">
                  <c:v>30.027319724284155</c:v>
                </c:pt>
              </c:numCache>
            </c:numRef>
          </c:val>
          <c:extLst>
            <c:ext xmlns:c16="http://schemas.microsoft.com/office/drawing/2014/chart" uri="{C3380CC4-5D6E-409C-BE32-E72D297353CC}">
              <c16:uniqueId val="{00000003-A963-439C-8300-837C99C1E933}"/>
            </c:ext>
          </c:extLst>
        </c:ser>
        <c:dLbls>
          <c:showLegendKey val="0"/>
          <c:showVal val="0"/>
          <c:showCatName val="0"/>
          <c:showSerName val="0"/>
          <c:showPercent val="0"/>
          <c:showBubbleSize val="0"/>
        </c:dLbls>
        <c:gapWidth val="150"/>
        <c:overlap val="100"/>
        <c:axId val="1435896463"/>
        <c:axId val="1209778079"/>
      </c:barChart>
      <c:catAx>
        <c:axId val="14358964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209778079"/>
        <c:crosses val="autoZero"/>
        <c:auto val="1"/>
        <c:lblAlgn val="ctr"/>
        <c:lblOffset val="100"/>
        <c:noMultiLvlLbl val="0"/>
      </c:catAx>
      <c:valAx>
        <c:axId val="120977807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43589646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t-EE"/>
              <a:t>Õpetaja kuine töötasu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t-EE"/>
        </a:p>
      </c:txPr>
    </c:title>
    <c:autoTitleDeleted val="0"/>
    <c:plotArea>
      <c:layout/>
      <c:barChart>
        <c:barDir val="col"/>
        <c:grouping val="clustered"/>
        <c:varyColors val="0"/>
        <c:ser>
          <c:idx val="0"/>
          <c:order val="0"/>
          <c:spPr>
            <a:solidFill>
              <a:schemeClr val="accent1"/>
            </a:solidFill>
            <a:ln>
              <a:noFill/>
            </a:ln>
            <a:effectLst/>
          </c:spPr>
          <c:invertIfNegative val="0"/>
          <c:cat>
            <c:strRef>
              <c:f>(Kool!$A$90:$A$92,Kool!$A$95:$A$97,Kool!$A$100:$A$103)</c:f>
              <c:strCache>
                <c:ptCount val="10"/>
                <c:pt idx="0">
                  <c:v>Keskuslik</c:v>
                </c:pt>
                <c:pt idx="1">
                  <c:v>Keskus-tagamaaline</c:v>
                </c:pt>
                <c:pt idx="2">
                  <c:v>Tagamaaline</c:v>
                </c:pt>
                <c:pt idx="3">
                  <c:v>Tulukas</c:v>
                </c:pt>
                <c:pt idx="4">
                  <c:v>Keskmiselt tulukas</c:v>
                </c:pt>
                <c:pt idx="5">
                  <c:v>Toimetulev</c:v>
                </c:pt>
                <c:pt idx="6">
                  <c:v>&gt;16 000 el</c:v>
                </c:pt>
                <c:pt idx="7">
                  <c:v>8000-15999 el</c:v>
                </c:pt>
                <c:pt idx="8">
                  <c:v>4000-7999 el</c:v>
                </c:pt>
                <c:pt idx="9">
                  <c:v>&lt;4000 el</c:v>
                </c:pt>
              </c:strCache>
            </c:strRef>
          </c:cat>
          <c:val>
            <c:numRef>
              <c:f>(Kool!$AT$90:$AT$92,Kool!$AT$95:$AT$97,Kool!$AT$100:$AT$103)</c:f>
              <c:numCache>
                <c:formatCode>#,##0</c:formatCode>
                <c:ptCount val="10"/>
                <c:pt idx="0">
                  <c:v>2469.8760393457969</c:v>
                </c:pt>
                <c:pt idx="1">
                  <c:v>2159.0640042289092</c:v>
                </c:pt>
                <c:pt idx="2">
                  <c:v>2147.7837961264145</c:v>
                </c:pt>
                <c:pt idx="3">
                  <c:v>2556.0968357886436</c:v>
                </c:pt>
                <c:pt idx="4">
                  <c:v>2367.706756394196</c:v>
                </c:pt>
                <c:pt idx="5">
                  <c:v>2176.9511375575762</c:v>
                </c:pt>
                <c:pt idx="6">
                  <c:v>2481.4103776637294</c:v>
                </c:pt>
                <c:pt idx="7">
                  <c:v>2166.4858569896101</c:v>
                </c:pt>
                <c:pt idx="8">
                  <c:v>2190.7925634392027</c:v>
                </c:pt>
                <c:pt idx="9">
                  <c:v>1956.4732110944317</c:v>
                </c:pt>
              </c:numCache>
            </c:numRef>
          </c:val>
          <c:extLst>
            <c:ext xmlns:c16="http://schemas.microsoft.com/office/drawing/2014/chart" uri="{C3380CC4-5D6E-409C-BE32-E72D297353CC}">
              <c16:uniqueId val="{00000000-8094-4431-9882-1EAA8E63ADE4}"/>
            </c:ext>
          </c:extLst>
        </c:ser>
        <c:dLbls>
          <c:showLegendKey val="0"/>
          <c:showVal val="0"/>
          <c:showCatName val="0"/>
          <c:showSerName val="0"/>
          <c:showPercent val="0"/>
          <c:showBubbleSize val="0"/>
        </c:dLbls>
        <c:gapWidth val="219"/>
        <c:overlap val="-27"/>
        <c:axId val="1853812591"/>
        <c:axId val="1853822191"/>
      </c:barChart>
      <c:catAx>
        <c:axId val="18538125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853822191"/>
        <c:crosses val="autoZero"/>
        <c:auto val="1"/>
        <c:lblAlgn val="ctr"/>
        <c:lblOffset val="100"/>
        <c:noMultiLvlLbl val="0"/>
      </c:catAx>
      <c:valAx>
        <c:axId val="185382219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85381259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t-EE"/>
              <a:t>Lasteaiakoha maksumus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t-EE"/>
        </a:p>
      </c:txPr>
    </c:title>
    <c:autoTitleDeleted val="0"/>
    <c:plotArea>
      <c:layout/>
      <c:scatterChart>
        <c:scatterStyle val="lineMarker"/>
        <c:varyColors val="0"/>
        <c:ser>
          <c:idx val="0"/>
          <c:order val="0"/>
          <c:spPr>
            <a:ln w="28575" cap="rnd">
              <a:noFill/>
              <a:round/>
            </a:ln>
            <a:effectLst/>
          </c:spPr>
          <c:marker>
            <c:symbol val="circle"/>
            <c:size val="5"/>
            <c:spPr>
              <a:solidFill>
                <a:schemeClr val="accent1"/>
              </a:solidFill>
              <a:ln w="9525">
                <a:solidFill>
                  <a:schemeClr val="accent1"/>
                </a:solidFill>
              </a:ln>
              <a:effectLst/>
            </c:spPr>
          </c:marker>
          <c:dLbls>
            <c:dLbl>
              <c:idx val="0"/>
              <c:tx>
                <c:rich>
                  <a:bodyPr/>
                  <a:lstStyle/>
                  <a:p>
                    <a:fld id="{D78DF621-62D6-4614-BC5D-6C020111C8D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2032-40AD-A1C5-060E15DE2C23}"/>
                </c:ext>
              </c:extLst>
            </c:dLbl>
            <c:dLbl>
              <c:idx val="1"/>
              <c:tx>
                <c:rich>
                  <a:bodyPr/>
                  <a:lstStyle/>
                  <a:p>
                    <a:fld id="{831B6B66-C270-4DE5-AE26-6C8A0805647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2032-40AD-A1C5-060E15DE2C23}"/>
                </c:ext>
              </c:extLst>
            </c:dLbl>
            <c:dLbl>
              <c:idx val="2"/>
              <c:tx>
                <c:rich>
                  <a:bodyPr/>
                  <a:lstStyle/>
                  <a:p>
                    <a:fld id="{1C5903B5-F823-4098-915C-5B6657E906F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2032-40AD-A1C5-060E15DE2C23}"/>
                </c:ext>
              </c:extLst>
            </c:dLbl>
            <c:dLbl>
              <c:idx val="3"/>
              <c:tx>
                <c:rich>
                  <a:bodyPr/>
                  <a:lstStyle/>
                  <a:p>
                    <a:fld id="{4B7ECF00-C86B-4E97-91D7-14B19753D62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2032-40AD-A1C5-060E15DE2C23}"/>
                </c:ext>
              </c:extLst>
            </c:dLbl>
            <c:dLbl>
              <c:idx val="4"/>
              <c:tx>
                <c:rich>
                  <a:bodyPr/>
                  <a:lstStyle/>
                  <a:p>
                    <a:fld id="{83AFDF59-E6B3-406F-AD0B-F36E8344B71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2032-40AD-A1C5-060E15DE2C23}"/>
                </c:ext>
              </c:extLst>
            </c:dLbl>
            <c:dLbl>
              <c:idx val="5"/>
              <c:tx>
                <c:rich>
                  <a:bodyPr/>
                  <a:lstStyle/>
                  <a:p>
                    <a:fld id="{762BE57C-A5F2-46E8-A4D1-A66ECE6C128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2032-40AD-A1C5-060E15DE2C23}"/>
                </c:ext>
              </c:extLst>
            </c:dLbl>
            <c:dLbl>
              <c:idx val="6"/>
              <c:tx>
                <c:rich>
                  <a:bodyPr/>
                  <a:lstStyle/>
                  <a:p>
                    <a:fld id="{73DC60BD-9AD2-44D6-9C1B-D4D6105C4D8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2032-40AD-A1C5-060E15DE2C23}"/>
                </c:ext>
              </c:extLst>
            </c:dLbl>
            <c:dLbl>
              <c:idx val="7"/>
              <c:tx>
                <c:rich>
                  <a:bodyPr/>
                  <a:lstStyle/>
                  <a:p>
                    <a:fld id="{3CFDFB3C-996C-4B53-B250-2281101C397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2032-40AD-A1C5-060E15DE2C23}"/>
                </c:ext>
              </c:extLst>
            </c:dLbl>
            <c:dLbl>
              <c:idx val="8"/>
              <c:tx>
                <c:rich>
                  <a:bodyPr/>
                  <a:lstStyle/>
                  <a:p>
                    <a:fld id="{F006952E-89BF-49A5-927A-051F27946B1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2032-40AD-A1C5-060E15DE2C23}"/>
                </c:ext>
              </c:extLst>
            </c:dLbl>
            <c:dLbl>
              <c:idx val="9"/>
              <c:tx>
                <c:rich>
                  <a:bodyPr/>
                  <a:lstStyle/>
                  <a:p>
                    <a:fld id="{145C0521-6CCA-47DD-8BDE-C08A3BDE0E7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2032-40AD-A1C5-060E15DE2C23}"/>
                </c:ext>
              </c:extLst>
            </c:dLbl>
            <c:dLbl>
              <c:idx val="10"/>
              <c:tx>
                <c:rich>
                  <a:bodyPr/>
                  <a:lstStyle/>
                  <a:p>
                    <a:fld id="{A2A0511C-B0E1-46E9-84D4-BE3BAB12F6F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2032-40AD-A1C5-060E15DE2C23}"/>
                </c:ext>
              </c:extLst>
            </c:dLbl>
            <c:dLbl>
              <c:idx val="11"/>
              <c:tx>
                <c:rich>
                  <a:bodyPr/>
                  <a:lstStyle/>
                  <a:p>
                    <a:fld id="{882D9255-1B63-440A-BF58-F608DE9DBA3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2032-40AD-A1C5-060E15DE2C23}"/>
                </c:ext>
              </c:extLst>
            </c:dLbl>
            <c:dLbl>
              <c:idx val="12"/>
              <c:tx>
                <c:rich>
                  <a:bodyPr/>
                  <a:lstStyle/>
                  <a:p>
                    <a:fld id="{B6FBC38A-9390-4F0C-BD4A-99024AC71B5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2032-40AD-A1C5-060E15DE2C23}"/>
                </c:ext>
              </c:extLst>
            </c:dLbl>
            <c:dLbl>
              <c:idx val="13"/>
              <c:tx>
                <c:rich>
                  <a:bodyPr/>
                  <a:lstStyle/>
                  <a:p>
                    <a:fld id="{5E6D5CC9-4D6C-4590-9F52-DBFA3AE02DB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2032-40AD-A1C5-060E15DE2C23}"/>
                </c:ext>
              </c:extLst>
            </c:dLbl>
            <c:dLbl>
              <c:idx val="14"/>
              <c:tx>
                <c:rich>
                  <a:bodyPr/>
                  <a:lstStyle/>
                  <a:p>
                    <a:fld id="{878A515A-A164-4A06-B23D-A2596AC5A24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2032-40AD-A1C5-060E15DE2C23}"/>
                </c:ext>
              </c:extLst>
            </c:dLbl>
            <c:dLbl>
              <c:idx val="15"/>
              <c:tx>
                <c:rich>
                  <a:bodyPr/>
                  <a:lstStyle/>
                  <a:p>
                    <a:fld id="{0528C9F2-DA2D-4957-8D1A-033546E6FA4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2032-40AD-A1C5-060E15DE2C23}"/>
                </c:ext>
              </c:extLst>
            </c:dLbl>
            <c:dLbl>
              <c:idx val="16"/>
              <c:tx>
                <c:rich>
                  <a:bodyPr/>
                  <a:lstStyle/>
                  <a:p>
                    <a:fld id="{78F1E228-77E9-425A-A78A-A5CEAE38273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2032-40AD-A1C5-060E15DE2C23}"/>
                </c:ext>
              </c:extLst>
            </c:dLbl>
            <c:dLbl>
              <c:idx val="17"/>
              <c:tx>
                <c:rich>
                  <a:bodyPr/>
                  <a:lstStyle/>
                  <a:p>
                    <a:fld id="{6A04EFF7-A9DC-4F9E-8024-4824AB423DA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2032-40AD-A1C5-060E15DE2C23}"/>
                </c:ext>
              </c:extLst>
            </c:dLbl>
            <c:dLbl>
              <c:idx val="18"/>
              <c:tx>
                <c:rich>
                  <a:bodyPr/>
                  <a:lstStyle/>
                  <a:p>
                    <a:fld id="{83666F82-AA62-4258-9A71-7B2FD18314B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2032-40AD-A1C5-060E15DE2C23}"/>
                </c:ext>
              </c:extLst>
            </c:dLbl>
            <c:dLbl>
              <c:idx val="19"/>
              <c:tx>
                <c:rich>
                  <a:bodyPr/>
                  <a:lstStyle/>
                  <a:p>
                    <a:fld id="{9F317569-22B4-4EB1-8926-0CF4CF11418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2032-40AD-A1C5-060E15DE2C23}"/>
                </c:ext>
              </c:extLst>
            </c:dLbl>
            <c:dLbl>
              <c:idx val="20"/>
              <c:tx>
                <c:rich>
                  <a:bodyPr/>
                  <a:lstStyle/>
                  <a:p>
                    <a:fld id="{BA9F6403-C442-4D57-A810-0CF5EFE29A0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2032-40AD-A1C5-060E15DE2C23}"/>
                </c:ext>
              </c:extLst>
            </c:dLbl>
            <c:dLbl>
              <c:idx val="21"/>
              <c:tx>
                <c:rich>
                  <a:bodyPr/>
                  <a:lstStyle/>
                  <a:p>
                    <a:fld id="{939AF9AD-D8DE-48BF-8A2F-B0683A4760B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2032-40AD-A1C5-060E15DE2C23}"/>
                </c:ext>
              </c:extLst>
            </c:dLbl>
            <c:dLbl>
              <c:idx val="22"/>
              <c:tx>
                <c:rich>
                  <a:bodyPr/>
                  <a:lstStyle/>
                  <a:p>
                    <a:fld id="{DA95CD75-81F9-47D5-9DC0-96386DD2437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2032-40AD-A1C5-060E15DE2C23}"/>
                </c:ext>
              </c:extLst>
            </c:dLbl>
            <c:dLbl>
              <c:idx val="23"/>
              <c:tx>
                <c:rich>
                  <a:bodyPr/>
                  <a:lstStyle/>
                  <a:p>
                    <a:fld id="{10196301-C6AE-4808-B51E-61A6BAB96CB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2032-40AD-A1C5-060E15DE2C23}"/>
                </c:ext>
              </c:extLst>
            </c:dLbl>
            <c:dLbl>
              <c:idx val="24"/>
              <c:tx>
                <c:rich>
                  <a:bodyPr/>
                  <a:lstStyle/>
                  <a:p>
                    <a:fld id="{08113628-230E-4DE3-ADEF-3BA52F38D1F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2032-40AD-A1C5-060E15DE2C23}"/>
                </c:ext>
              </c:extLst>
            </c:dLbl>
            <c:dLbl>
              <c:idx val="25"/>
              <c:tx>
                <c:rich>
                  <a:bodyPr/>
                  <a:lstStyle/>
                  <a:p>
                    <a:fld id="{08288BFC-4C66-4593-AB0E-9DF277A381F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2032-40AD-A1C5-060E15DE2C23}"/>
                </c:ext>
              </c:extLst>
            </c:dLbl>
            <c:dLbl>
              <c:idx val="26"/>
              <c:tx>
                <c:rich>
                  <a:bodyPr/>
                  <a:lstStyle/>
                  <a:p>
                    <a:fld id="{70F1A9CD-6750-4F78-B3F3-9E9DAC73F52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2032-40AD-A1C5-060E15DE2C23}"/>
                </c:ext>
              </c:extLst>
            </c:dLbl>
            <c:dLbl>
              <c:idx val="27"/>
              <c:tx>
                <c:rich>
                  <a:bodyPr/>
                  <a:lstStyle/>
                  <a:p>
                    <a:fld id="{B3422489-8633-4F17-BB9C-2F0A1AB5AB9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2032-40AD-A1C5-060E15DE2C23}"/>
                </c:ext>
              </c:extLst>
            </c:dLbl>
            <c:dLbl>
              <c:idx val="28"/>
              <c:tx>
                <c:rich>
                  <a:bodyPr/>
                  <a:lstStyle/>
                  <a:p>
                    <a:fld id="{F9BF98D2-C9B3-482A-A0E4-87D4831D584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2032-40AD-A1C5-060E15DE2C23}"/>
                </c:ext>
              </c:extLst>
            </c:dLbl>
            <c:dLbl>
              <c:idx val="29"/>
              <c:tx>
                <c:rich>
                  <a:bodyPr/>
                  <a:lstStyle/>
                  <a:p>
                    <a:fld id="{2034DB3B-81D2-42D4-A195-DE0FC2E3B2E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2032-40AD-A1C5-060E15DE2C23}"/>
                </c:ext>
              </c:extLst>
            </c:dLbl>
            <c:dLbl>
              <c:idx val="30"/>
              <c:tx>
                <c:rich>
                  <a:bodyPr/>
                  <a:lstStyle/>
                  <a:p>
                    <a:fld id="{7F4C50A4-C6D6-405B-B0D2-342CE44C5CF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2032-40AD-A1C5-060E15DE2C23}"/>
                </c:ext>
              </c:extLst>
            </c:dLbl>
            <c:dLbl>
              <c:idx val="31"/>
              <c:tx>
                <c:rich>
                  <a:bodyPr/>
                  <a:lstStyle/>
                  <a:p>
                    <a:fld id="{11E0DDAA-3422-407A-A94C-C7B1AEFF0A1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2032-40AD-A1C5-060E15DE2C23}"/>
                </c:ext>
              </c:extLst>
            </c:dLbl>
            <c:dLbl>
              <c:idx val="32"/>
              <c:tx>
                <c:rich>
                  <a:bodyPr/>
                  <a:lstStyle/>
                  <a:p>
                    <a:fld id="{B0055B17-9C75-4874-8B99-BA5ADD51866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2032-40AD-A1C5-060E15DE2C23}"/>
                </c:ext>
              </c:extLst>
            </c:dLbl>
            <c:dLbl>
              <c:idx val="33"/>
              <c:tx>
                <c:rich>
                  <a:bodyPr/>
                  <a:lstStyle/>
                  <a:p>
                    <a:fld id="{8A73A480-F1E1-4AB3-827E-55BBB75CC9F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2032-40AD-A1C5-060E15DE2C23}"/>
                </c:ext>
              </c:extLst>
            </c:dLbl>
            <c:dLbl>
              <c:idx val="34"/>
              <c:tx>
                <c:rich>
                  <a:bodyPr/>
                  <a:lstStyle/>
                  <a:p>
                    <a:fld id="{EA0CF560-2AFC-40A4-B3B5-1C3A6C0FA5A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2032-40AD-A1C5-060E15DE2C23}"/>
                </c:ext>
              </c:extLst>
            </c:dLbl>
            <c:dLbl>
              <c:idx val="35"/>
              <c:tx>
                <c:rich>
                  <a:bodyPr/>
                  <a:lstStyle/>
                  <a:p>
                    <a:fld id="{6FAE81D1-BFB0-45D5-852A-8FC634AF73B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3-2032-40AD-A1C5-060E15DE2C23}"/>
                </c:ext>
              </c:extLst>
            </c:dLbl>
            <c:dLbl>
              <c:idx val="36"/>
              <c:tx>
                <c:rich>
                  <a:bodyPr/>
                  <a:lstStyle/>
                  <a:p>
                    <a:fld id="{AAFF4D6F-80E6-4D1A-95D6-6AD03269BBB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4-2032-40AD-A1C5-060E15DE2C23}"/>
                </c:ext>
              </c:extLst>
            </c:dLbl>
            <c:dLbl>
              <c:idx val="37"/>
              <c:tx>
                <c:rich>
                  <a:bodyPr/>
                  <a:lstStyle/>
                  <a:p>
                    <a:fld id="{12C22880-0BB3-4B2F-B589-9F0BD60C278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5-2032-40AD-A1C5-060E15DE2C23}"/>
                </c:ext>
              </c:extLst>
            </c:dLbl>
            <c:dLbl>
              <c:idx val="38"/>
              <c:tx>
                <c:rich>
                  <a:bodyPr/>
                  <a:lstStyle/>
                  <a:p>
                    <a:fld id="{5C0025D0-7E69-4804-BAC2-F221F431C72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6-2032-40AD-A1C5-060E15DE2C23}"/>
                </c:ext>
              </c:extLst>
            </c:dLbl>
            <c:dLbl>
              <c:idx val="39"/>
              <c:tx>
                <c:rich>
                  <a:bodyPr/>
                  <a:lstStyle/>
                  <a:p>
                    <a:fld id="{D4A16E19-BF75-4FCA-AB39-F18B0D8615D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7-2032-40AD-A1C5-060E15DE2C23}"/>
                </c:ext>
              </c:extLst>
            </c:dLbl>
            <c:dLbl>
              <c:idx val="40"/>
              <c:tx>
                <c:rich>
                  <a:bodyPr/>
                  <a:lstStyle/>
                  <a:p>
                    <a:fld id="{DAE40A32-4FD2-4277-8C15-1F2E89ACA0C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8-2032-40AD-A1C5-060E15DE2C23}"/>
                </c:ext>
              </c:extLst>
            </c:dLbl>
            <c:dLbl>
              <c:idx val="41"/>
              <c:tx>
                <c:rich>
                  <a:bodyPr/>
                  <a:lstStyle/>
                  <a:p>
                    <a:fld id="{B97D6D51-68D6-47FB-832C-FD7DA47A078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9-2032-40AD-A1C5-060E15DE2C23}"/>
                </c:ext>
              </c:extLst>
            </c:dLbl>
            <c:dLbl>
              <c:idx val="42"/>
              <c:tx>
                <c:rich>
                  <a:bodyPr/>
                  <a:lstStyle/>
                  <a:p>
                    <a:fld id="{CD3D4B8B-B73F-4E6C-88FD-4541FD1E55D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A-2032-40AD-A1C5-060E15DE2C23}"/>
                </c:ext>
              </c:extLst>
            </c:dLbl>
            <c:dLbl>
              <c:idx val="43"/>
              <c:tx>
                <c:rich>
                  <a:bodyPr/>
                  <a:lstStyle/>
                  <a:p>
                    <a:fld id="{511F8D57-9B65-401E-B1F9-B486DAC3A2C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B-2032-40AD-A1C5-060E15DE2C23}"/>
                </c:ext>
              </c:extLst>
            </c:dLbl>
            <c:dLbl>
              <c:idx val="44"/>
              <c:tx>
                <c:rich>
                  <a:bodyPr/>
                  <a:lstStyle/>
                  <a:p>
                    <a:fld id="{28853EE2-98F5-46C6-85C2-A7AE304AB9B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C-2032-40AD-A1C5-060E15DE2C23}"/>
                </c:ext>
              </c:extLst>
            </c:dLbl>
            <c:dLbl>
              <c:idx val="45"/>
              <c:tx>
                <c:rich>
                  <a:bodyPr/>
                  <a:lstStyle/>
                  <a:p>
                    <a:fld id="{FFFAD1F0-320F-4EA8-8FCD-A7FCEFF2469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D-2032-40AD-A1C5-060E15DE2C23}"/>
                </c:ext>
              </c:extLst>
            </c:dLbl>
            <c:dLbl>
              <c:idx val="46"/>
              <c:tx>
                <c:rich>
                  <a:bodyPr/>
                  <a:lstStyle/>
                  <a:p>
                    <a:fld id="{FC1245CD-B8E7-4AF7-B939-046673F886E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E-2032-40AD-A1C5-060E15DE2C23}"/>
                </c:ext>
              </c:extLst>
            </c:dLbl>
            <c:dLbl>
              <c:idx val="47"/>
              <c:tx>
                <c:rich>
                  <a:bodyPr/>
                  <a:lstStyle/>
                  <a:p>
                    <a:fld id="{239CA127-060A-4B20-9FF3-250036ED1FC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F-2032-40AD-A1C5-060E15DE2C23}"/>
                </c:ext>
              </c:extLst>
            </c:dLbl>
            <c:dLbl>
              <c:idx val="48"/>
              <c:tx>
                <c:rich>
                  <a:bodyPr/>
                  <a:lstStyle/>
                  <a:p>
                    <a:fld id="{A9B62809-7560-47A8-8BE1-5484A40267F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0-2032-40AD-A1C5-060E15DE2C23}"/>
                </c:ext>
              </c:extLst>
            </c:dLbl>
            <c:dLbl>
              <c:idx val="49"/>
              <c:tx>
                <c:rich>
                  <a:bodyPr/>
                  <a:lstStyle/>
                  <a:p>
                    <a:fld id="{06897114-78F2-4516-ABCC-F2E76AEC7D8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1-2032-40AD-A1C5-060E15DE2C23}"/>
                </c:ext>
              </c:extLst>
            </c:dLbl>
            <c:dLbl>
              <c:idx val="50"/>
              <c:tx>
                <c:rich>
                  <a:bodyPr/>
                  <a:lstStyle/>
                  <a:p>
                    <a:fld id="{B9A24A49-6A05-4BF4-9D9B-ACB56A7153C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2-2032-40AD-A1C5-060E15DE2C23}"/>
                </c:ext>
              </c:extLst>
            </c:dLbl>
            <c:dLbl>
              <c:idx val="51"/>
              <c:tx>
                <c:rich>
                  <a:bodyPr/>
                  <a:lstStyle/>
                  <a:p>
                    <a:fld id="{BF1CCDD9-0F91-470F-B5DD-2C0416356F1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3-2032-40AD-A1C5-060E15DE2C23}"/>
                </c:ext>
              </c:extLst>
            </c:dLbl>
            <c:dLbl>
              <c:idx val="52"/>
              <c:tx>
                <c:rich>
                  <a:bodyPr/>
                  <a:lstStyle/>
                  <a:p>
                    <a:fld id="{FF9B3B54-BF2D-4C78-9E42-36ECEAC7148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4-2032-40AD-A1C5-060E15DE2C23}"/>
                </c:ext>
              </c:extLst>
            </c:dLbl>
            <c:dLbl>
              <c:idx val="53"/>
              <c:tx>
                <c:rich>
                  <a:bodyPr/>
                  <a:lstStyle/>
                  <a:p>
                    <a:fld id="{BC4F4957-28D3-4D6A-95AF-A1135ED99DB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5-2032-40AD-A1C5-060E15DE2C23}"/>
                </c:ext>
              </c:extLst>
            </c:dLbl>
            <c:dLbl>
              <c:idx val="54"/>
              <c:tx>
                <c:rich>
                  <a:bodyPr/>
                  <a:lstStyle/>
                  <a:p>
                    <a:fld id="{9A0D5283-49E9-4719-AD83-9F1A7F85650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6-2032-40AD-A1C5-060E15DE2C23}"/>
                </c:ext>
              </c:extLst>
            </c:dLbl>
            <c:dLbl>
              <c:idx val="55"/>
              <c:tx>
                <c:rich>
                  <a:bodyPr/>
                  <a:lstStyle/>
                  <a:p>
                    <a:fld id="{39DEE856-AC36-494D-8958-C800CDD185B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7-2032-40AD-A1C5-060E15DE2C23}"/>
                </c:ext>
              </c:extLst>
            </c:dLbl>
            <c:dLbl>
              <c:idx val="56"/>
              <c:tx>
                <c:rich>
                  <a:bodyPr/>
                  <a:lstStyle/>
                  <a:p>
                    <a:fld id="{3F31088E-967F-474F-AC92-849F2B48651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8-2032-40AD-A1C5-060E15DE2C23}"/>
                </c:ext>
              </c:extLst>
            </c:dLbl>
            <c:dLbl>
              <c:idx val="57"/>
              <c:tx>
                <c:rich>
                  <a:bodyPr/>
                  <a:lstStyle/>
                  <a:p>
                    <a:endParaRPr lang="et-EE"/>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2032-40AD-A1C5-060E15DE2C23}"/>
                </c:ext>
              </c:extLst>
            </c:dLbl>
            <c:dLbl>
              <c:idx val="58"/>
              <c:tx>
                <c:rich>
                  <a:bodyPr/>
                  <a:lstStyle/>
                  <a:p>
                    <a:fld id="{8131DCDC-6918-4200-B1D4-318FA11569F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A-2032-40AD-A1C5-060E15DE2C23}"/>
                </c:ext>
              </c:extLst>
            </c:dLbl>
            <c:dLbl>
              <c:idx val="59"/>
              <c:tx>
                <c:rich>
                  <a:bodyPr/>
                  <a:lstStyle/>
                  <a:p>
                    <a:fld id="{EBC7674E-4225-4B73-92C1-C03ECB24E30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B-2032-40AD-A1C5-060E15DE2C23}"/>
                </c:ext>
              </c:extLst>
            </c:dLbl>
            <c:dLbl>
              <c:idx val="60"/>
              <c:tx>
                <c:rich>
                  <a:bodyPr/>
                  <a:lstStyle/>
                  <a:p>
                    <a:fld id="{69D46A9C-8526-41F3-B51D-179D6EA6535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C-2032-40AD-A1C5-060E15DE2C23}"/>
                </c:ext>
              </c:extLst>
            </c:dLbl>
            <c:dLbl>
              <c:idx val="61"/>
              <c:tx>
                <c:rich>
                  <a:bodyPr/>
                  <a:lstStyle/>
                  <a:p>
                    <a:fld id="{61A6F53C-DA68-4B96-ADD3-A96CB729741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D-2032-40AD-A1C5-060E15DE2C23}"/>
                </c:ext>
              </c:extLst>
            </c:dLbl>
            <c:dLbl>
              <c:idx val="62"/>
              <c:tx>
                <c:rich>
                  <a:bodyPr/>
                  <a:lstStyle/>
                  <a:p>
                    <a:fld id="{CACAEDB7-31F0-4DB6-9A6F-6EF298255A0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E-2032-40AD-A1C5-060E15DE2C23}"/>
                </c:ext>
              </c:extLst>
            </c:dLbl>
            <c:dLbl>
              <c:idx val="63"/>
              <c:tx>
                <c:rich>
                  <a:bodyPr/>
                  <a:lstStyle/>
                  <a:p>
                    <a:fld id="{0363F60D-FEFF-4760-9DCE-4E9D7E87A8C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F-2032-40AD-A1C5-060E15DE2C23}"/>
                </c:ext>
              </c:extLst>
            </c:dLbl>
            <c:dLbl>
              <c:idx val="64"/>
              <c:tx>
                <c:rich>
                  <a:bodyPr/>
                  <a:lstStyle/>
                  <a:p>
                    <a:fld id="{840C03F7-C29B-4115-8DA5-6153F32DAC5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0-2032-40AD-A1C5-060E15DE2C23}"/>
                </c:ext>
              </c:extLst>
            </c:dLbl>
            <c:dLbl>
              <c:idx val="65"/>
              <c:tx>
                <c:rich>
                  <a:bodyPr/>
                  <a:lstStyle/>
                  <a:p>
                    <a:fld id="{1D5C8885-3BEF-44CB-89C4-4AA8698B950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1-2032-40AD-A1C5-060E15DE2C23}"/>
                </c:ext>
              </c:extLst>
            </c:dLbl>
            <c:dLbl>
              <c:idx val="66"/>
              <c:tx>
                <c:rich>
                  <a:bodyPr/>
                  <a:lstStyle/>
                  <a:p>
                    <a:fld id="{40988BD9-FAA9-4B46-8C57-15943B2E62E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2-2032-40AD-A1C5-060E15DE2C23}"/>
                </c:ext>
              </c:extLst>
            </c:dLbl>
            <c:dLbl>
              <c:idx val="67"/>
              <c:tx>
                <c:rich>
                  <a:bodyPr/>
                  <a:lstStyle/>
                  <a:p>
                    <a:fld id="{E089FCB7-233A-447D-BF4D-D34E20EB78F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3-2032-40AD-A1C5-060E15DE2C23}"/>
                </c:ext>
              </c:extLst>
            </c:dLbl>
            <c:dLbl>
              <c:idx val="68"/>
              <c:tx>
                <c:rich>
                  <a:bodyPr/>
                  <a:lstStyle/>
                  <a:p>
                    <a:fld id="{687C2876-7626-4ABF-B37D-DB495D589F1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4-2032-40AD-A1C5-060E15DE2C23}"/>
                </c:ext>
              </c:extLst>
            </c:dLbl>
            <c:dLbl>
              <c:idx val="69"/>
              <c:tx>
                <c:rich>
                  <a:bodyPr/>
                  <a:lstStyle/>
                  <a:p>
                    <a:fld id="{B10015BE-32FB-4E5B-B336-CF34CA7B521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5-2032-40AD-A1C5-060E15DE2C23}"/>
                </c:ext>
              </c:extLst>
            </c:dLbl>
            <c:dLbl>
              <c:idx val="70"/>
              <c:tx>
                <c:rich>
                  <a:bodyPr/>
                  <a:lstStyle/>
                  <a:p>
                    <a:fld id="{6B348166-5E1E-44C0-89E0-22F413E298B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6-2032-40AD-A1C5-060E15DE2C23}"/>
                </c:ext>
              </c:extLst>
            </c:dLbl>
            <c:dLbl>
              <c:idx val="71"/>
              <c:tx>
                <c:rich>
                  <a:bodyPr/>
                  <a:lstStyle/>
                  <a:p>
                    <a:fld id="{3A0F804A-B5B9-4865-9217-222CDDA8AC2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7-2032-40AD-A1C5-060E15DE2C23}"/>
                </c:ext>
              </c:extLst>
            </c:dLbl>
            <c:dLbl>
              <c:idx val="72"/>
              <c:tx>
                <c:rich>
                  <a:bodyPr/>
                  <a:lstStyle/>
                  <a:p>
                    <a:fld id="{A97F574C-2D08-43A7-B835-91DB3DC11CE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8-2032-40AD-A1C5-060E15DE2C23}"/>
                </c:ext>
              </c:extLst>
            </c:dLbl>
            <c:dLbl>
              <c:idx val="73"/>
              <c:tx>
                <c:rich>
                  <a:bodyPr/>
                  <a:lstStyle/>
                  <a:p>
                    <a:fld id="{4A1BDBEC-5364-4C0D-9169-B9E2B7E7BC6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9-2032-40AD-A1C5-060E15DE2C23}"/>
                </c:ext>
              </c:extLst>
            </c:dLbl>
            <c:dLbl>
              <c:idx val="74"/>
              <c:tx>
                <c:rich>
                  <a:bodyPr/>
                  <a:lstStyle/>
                  <a:p>
                    <a:fld id="{FD0CBB2B-85C3-4E33-8C15-6263E52C905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A-2032-40AD-A1C5-060E15DE2C23}"/>
                </c:ext>
              </c:extLst>
            </c:dLbl>
            <c:dLbl>
              <c:idx val="75"/>
              <c:tx>
                <c:rich>
                  <a:bodyPr/>
                  <a:lstStyle/>
                  <a:p>
                    <a:fld id="{94A13379-1670-4577-946B-CCABBA2DE7E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B-2032-40AD-A1C5-060E15DE2C23}"/>
                </c:ext>
              </c:extLst>
            </c:dLbl>
            <c:dLbl>
              <c:idx val="76"/>
              <c:tx>
                <c:rich>
                  <a:bodyPr/>
                  <a:lstStyle/>
                  <a:p>
                    <a:fld id="{7AAB8D2D-D1E7-486B-A344-106E1E1108B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C-2032-40AD-A1C5-060E15DE2C23}"/>
                </c:ext>
              </c:extLst>
            </c:dLbl>
            <c:dLbl>
              <c:idx val="77"/>
              <c:tx>
                <c:rich>
                  <a:bodyPr/>
                  <a:lstStyle/>
                  <a:p>
                    <a:fld id="{A1C49040-564F-41BC-A15F-7E763912786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D-2032-40AD-A1C5-060E15DE2C23}"/>
                </c:ext>
              </c:extLst>
            </c:dLbl>
            <c:dLbl>
              <c:idx val="78"/>
              <c:tx>
                <c:rich>
                  <a:bodyPr/>
                  <a:lstStyle/>
                  <a:p>
                    <a:fld id="{F1BD62BE-85CE-4CBB-9CF8-4BFAC13B244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E-2032-40AD-A1C5-060E15DE2C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trendline>
            <c:spPr>
              <a:ln w="19050" cap="rnd">
                <a:solidFill>
                  <a:schemeClr val="accent1"/>
                </a:solidFill>
                <a:prstDash val="sysDot"/>
              </a:ln>
              <a:effectLst/>
            </c:spPr>
            <c:trendlineType val="linear"/>
            <c:dispRSqr val="1"/>
            <c:dispEq val="0"/>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trendlineLbl>
          </c:trendline>
          <c:xVal>
            <c:numRef>
              <c:f>Alusharidus!$BD$4:$BD$82</c:f>
              <c:numCache>
                <c:formatCode>#,##0</c:formatCode>
                <c:ptCount val="79"/>
                <c:pt idx="0">
                  <c:v>668.875299061698</c:v>
                </c:pt>
                <c:pt idx="1">
                  <c:v>714.70470978866433</c:v>
                </c:pt>
                <c:pt idx="2">
                  <c:v>760.77061438047576</c:v>
                </c:pt>
                <c:pt idx="3">
                  <c:v>748.00569977843395</c:v>
                </c:pt>
                <c:pt idx="4">
                  <c:v>682.71739669421493</c:v>
                </c:pt>
                <c:pt idx="5">
                  <c:v>817.07832291386148</c:v>
                </c:pt>
                <c:pt idx="6">
                  <c:v>584.72238011695924</c:v>
                </c:pt>
                <c:pt idx="7">
                  <c:v>596.64160178082727</c:v>
                </c:pt>
                <c:pt idx="8">
                  <c:v>718.45268072289161</c:v>
                </c:pt>
                <c:pt idx="9">
                  <c:v>659.26688708036625</c:v>
                </c:pt>
                <c:pt idx="10">
                  <c:v>586.27710882867132</c:v>
                </c:pt>
                <c:pt idx="11">
                  <c:v>712.39943920425321</c:v>
                </c:pt>
                <c:pt idx="12">
                  <c:v>605.52968046709145</c:v>
                </c:pt>
                <c:pt idx="13">
                  <c:v>640.61930880930879</c:v>
                </c:pt>
                <c:pt idx="14">
                  <c:v>696.84004618129939</c:v>
                </c:pt>
                <c:pt idx="15">
                  <c:v>748.82517965587056</c:v>
                </c:pt>
                <c:pt idx="16">
                  <c:v>675.02789818548388</c:v>
                </c:pt>
                <c:pt idx="17">
                  <c:v>642.06320357142874</c:v>
                </c:pt>
                <c:pt idx="18">
                  <c:v>822.37385025062656</c:v>
                </c:pt>
                <c:pt idx="19">
                  <c:v>884.98318298969082</c:v>
                </c:pt>
                <c:pt idx="20">
                  <c:v>665.03165733886988</c:v>
                </c:pt>
                <c:pt idx="21">
                  <c:v>926.33413398692812</c:v>
                </c:pt>
                <c:pt idx="22">
                  <c:v>703.96222574796013</c:v>
                </c:pt>
                <c:pt idx="23">
                  <c:v>894.39071695760595</c:v>
                </c:pt>
                <c:pt idx="24">
                  <c:v>839.89684607260733</c:v>
                </c:pt>
                <c:pt idx="25">
                  <c:v>629.33023776705738</c:v>
                </c:pt>
                <c:pt idx="26">
                  <c:v>573.37162976839249</c:v>
                </c:pt>
                <c:pt idx="27">
                  <c:v>619.0629153432775</c:v>
                </c:pt>
                <c:pt idx="28">
                  <c:v>687.82592937268555</c:v>
                </c:pt>
                <c:pt idx="29">
                  <c:v>619.76607310746476</c:v>
                </c:pt>
                <c:pt idx="30">
                  <c:v>674.01166849015328</c:v>
                </c:pt>
                <c:pt idx="31">
                  <c:v>554.57548387096779</c:v>
                </c:pt>
                <c:pt idx="32">
                  <c:v>1375.6841390582194</c:v>
                </c:pt>
                <c:pt idx="33">
                  <c:v>580.58526507782108</c:v>
                </c:pt>
                <c:pt idx="34">
                  <c:v>740.55796740994845</c:v>
                </c:pt>
                <c:pt idx="35">
                  <c:v>700.62812201416909</c:v>
                </c:pt>
                <c:pt idx="36">
                  <c:v>554.05775414844391</c:v>
                </c:pt>
                <c:pt idx="37">
                  <c:v>720.00943327974289</c:v>
                </c:pt>
                <c:pt idx="38">
                  <c:v>609.89349534543965</c:v>
                </c:pt>
                <c:pt idx="39">
                  <c:v>593.77654481980653</c:v>
                </c:pt>
                <c:pt idx="40">
                  <c:v>539.45379006410246</c:v>
                </c:pt>
                <c:pt idx="41">
                  <c:v>597.00378644130592</c:v>
                </c:pt>
                <c:pt idx="42">
                  <c:v>771.23570490367763</c:v>
                </c:pt>
                <c:pt idx="43">
                  <c:v>454.98971590909088</c:v>
                </c:pt>
                <c:pt idx="44">
                  <c:v>532.90673333333348</c:v>
                </c:pt>
                <c:pt idx="45">
                  <c:v>610.24342479371853</c:v>
                </c:pt>
                <c:pt idx="46">
                  <c:v>633.86736406906869</c:v>
                </c:pt>
                <c:pt idx="47">
                  <c:v>743.55918499606105</c:v>
                </c:pt>
                <c:pt idx="48">
                  <c:v>586.18760286225404</c:v>
                </c:pt>
                <c:pt idx="49">
                  <c:v>657.58519327731096</c:v>
                </c:pt>
                <c:pt idx="50">
                  <c:v>701.19790594756887</c:v>
                </c:pt>
                <c:pt idx="51">
                  <c:v>598.44471536405331</c:v>
                </c:pt>
                <c:pt idx="52">
                  <c:v>599.75048275862071</c:v>
                </c:pt>
                <c:pt idx="53">
                  <c:v>719.5588095238096</c:v>
                </c:pt>
                <c:pt idx="54">
                  <c:v>599.60903956960794</c:v>
                </c:pt>
                <c:pt idx="55">
                  <c:v>687.06506250000018</c:v>
                </c:pt>
                <c:pt idx="56">
                  <c:v>907.35844135802472</c:v>
                </c:pt>
                <c:pt idx="58">
                  <c:v>578.59391333862538</c:v>
                </c:pt>
                <c:pt idx="59">
                  <c:v>760.96297923530858</c:v>
                </c:pt>
                <c:pt idx="60">
                  <c:v>719.09330128205113</c:v>
                </c:pt>
                <c:pt idx="61">
                  <c:v>743.7542480790338</c:v>
                </c:pt>
                <c:pt idx="62">
                  <c:v>638.99468061198411</c:v>
                </c:pt>
                <c:pt idx="63">
                  <c:v>706.49931881492842</c:v>
                </c:pt>
                <c:pt idx="64">
                  <c:v>655.44445329277039</c:v>
                </c:pt>
                <c:pt idx="65">
                  <c:v>690.03458489778893</c:v>
                </c:pt>
                <c:pt idx="66">
                  <c:v>689.00355533465881</c:v>
                </c:pt>
                <c:pt idx="67">
                  <c:v>575.35341849148415</c:v>
                </c:pt>
                <c:pt idx="68">
                  <c:v>651.67958413554095</c:v>
                </c:pt>
                <c:pt idx="69">
                  <c:v>688.49669560776294</c:v>
                </c:pt>
                <c:pt idx="70">
                  <c:v>686.49846863468622</c:v>
                </c:pt>
                <c:pt idx="71">
                  <c:v>528.1949645808736</c:v>
                </c:pt>
                <c:pt idx="72">
                  <c:v>576.03260546642889</c:v>
                </c:pt>
                <c:pt idx="73">
                  <c:v>603.15320950060914</c:v>
                </c:pt>
                <c:pt idx="74">
                  <c:v>576.12351297405201</c:v>
                </c:pt>
                <c:pt idx="75">
                  <c:v>633.07312499999989</c:v>
                </c:pt>
                <c:pt idx="76">
                  <c:v>610.03055582524291</c:v>
                </c:pt>
                <c:pt idx="77">
                  <c:v>672.78808888729452</c:v>
                </c:pt>
                <c:pt idx="78">
                  <c:v>654.64194719471948</c:v>
                </c:pt>
              </c:numCache>
            </c:numRef>
          </c:xVal>
          <c:yVal>
            <c:numRef>
              <c:f>Alusharidus!$BX$4:$BX$82</c:f>
              <c:numCache>
                <c:formatCode>0.0</c:formatCode>
                <c:ptCount val="79"/>
                <c:pt idx="0">
                  <c:v>18.29177461139896</c:v>
                </c:pt>
                <c:pt idx="1">
                  <c:v>16.412698412698411</c:v>
                </c:pt>
                <c:pt idx="2">
                  <c:v>17.407407407407405</c:v>
                </c:pt>
                <c:pt idx="3">
                  <c:v>16.512195121951219</c:v>
                </c:pt>
                <c:pt idx="4">
                  <c:v>17.493975903614459</c:v>
                </c:pt>
                <c:pt idx="5">
                  <c:v>16.839999999999996</c:v>
                </c:pt>
                <c:pt idx="6">
                  <c:v>17.272727272727273</c:v>
                </c:pt>
                <c:pt idx="7">
                  <c:v>16.666666666666668</c:v>
                </c:pt>
                <c:pt idx="8">
                  <c:v>16.600000000000001</c:v>
                </c:pt>
                <c:pt idx="9">
                  <c:v>17.245614035087719</c:v>
                </c:pt>
                <c:pt idx="10">
                  <c:v>18.158730158730162</c:v>
                </c:pt>
                <c:pt idx="11">
                  <c:v>17.669696969696968</c:v>
                </c:pt>
                <c:pt idx="12">
                  <c:v>18.255813953488371</c:v>
                </c:pt>
                <c:pt idx="13">
                  <c:v>18.935114503816791</c:v>
                </c:pt>
                <c:pt idx="14">
                  <c:v>18.346153846153847</c:v>
                </c:pt>
                <c:pt idx="15">
                  <c:v>15.682539682539682</c:v>
                </c:pt>
                <c:pt idx="16">
                  <c:v>15.746031746031747</c:v>
                </c:pt>
                <c:pt idx="17">
                  <c:v>15.555555555555554</c:v>
                </c:pt>
                <c:pt idx="18">
                  <c:v>14</c:v>
                </c:pt>
                <c:pt idx="19">
                  <c:v>13.857142857142854</c:v>
                </c:pt>
                <c:pt idx="20">
                  <c:v>16.938837920489298</c:v>
                </c:pt>
                <c:pt idx="21">
                  <c:v>14.571428571428571</c:v>
                </c:pt>
                <c:pt idx="22">
                  <c:v>15.757142857142856</c:v>
                </c:pt>
                <c:pt idx="23">
                  <c:v>13.366666666666669</c:v>
                </c:pt>
                <c:pt idx="24">
                  <c:v>15.15151515151515</c:v>
                </c:pt>
                <c:pt idx="25">
                  <c:v>16.678160919540229</c:v>
                </c:pt>
                <c:pt idx="26">
                  <c:v>15.452631578947367</c:v>
                </c:pt>
                <c:pt idx="27">
                  <c:v>15.52325581395349</c:v>
                </c:pt>
                <c:pt idx="28">
                  <c:v>15.601626016260163</c:v>
                </c:pt>
                <c:pt idx="29">
                  <c:v>15.772727272727272</c:v>
                </c:pt>
                <c:pt idx="30">
                  <c:v>13.441176470588236</c:v>
                </c:pt>
                <c:pt idx="31">
                  <c:v>16.211009174311926</c:v>
                </c:pt>
                <c:pt idx="32">
                  <c:v>5.333333333333333</c:v>
                </c:pt>
                <c:pt idx="33">
                  <c:v>15.343283582089555</c:v>
                </c:pt>
                <c:pt idx="34">
                  <c:v>13.25</c:v>
                </c:pt>
                <c:pt idx="35">
                  <c:v>14.490196078431373</c:v>
                </c:pt>
                <c:pt idx="36">
                  <c:v>16.539823008849559</c:v>
                </c:pt>
                <c:pt idx="37">
                  <c:v>17.277777777777775</c:v>
                </c:pt>
                <c:pt idx="38">
                  <c:v>13.846153846153847</c:v>
                </c:pt>
                <c:pt idx="39">
                  <c:v>16.934426229508194</c:v>
                </c:pt>
                <c:pt idx="40">
                  <c:v>14.857142857142858</c:v>
                </c:pt>
                <c:pt idx="41">
                  <c:v>14.745454545454546</c:v>
                </c:pt>
                <c:pt idx="42">
                  <c:v>13.595238095238097</c:v>
                </c:pt>
                <c:pt idx="43">
                  <c:v>14.666666666666668</c:v>
                </c:pt>
                <c:pt idx="44">
                  <c:v>19.444444444444443</c:v>
                </c:pt>
                <c:pt idx="45">
                  <c:v>17.929046563192905</c:v>
                </c:pt>
                <c:pt idx="46">
                  <c:v>17.982142857142858</c:v>
                </c:pt>
                <c:pt idx="47">
                  <c:v>14.787500000000001</c:v>
                </c:pt>
                <c:pt idx="48">
                  <c:v>15.527777777777777</c:v>
                </c:pt>
                <c:pt idx="49">
                  <c:v>15.256410256410255</c:v>
                </c:pt>
                <c:pt idx="50">
                  <c:v>15.527272727272726</c:v>
                </c:pt>
                <c:pt idx="51">
                  <c:v>16.051282051282051</c:v>
                </c:pt>
                <c:pt idx="52">
                  <c:v>17.755102040816329</c:v>
                </c:pt>
                <c:pt idx="53">
                  <c:v>18.375</c:v>
                </c:pt>
                <c:pt idx="54">
                  <c:v>17.735849056603772</c:v>
                </c:pt>
                <c:pt idx="55">
                  <c:v>17.966101694915256</c:v>
                </c:pt>
                <c:pt idx="56">
                  <c:v>13.5</c:v>
                </c:pt>
                <c:pt idx="58">
                  <c:v>16.348314606741575</c:v>
                </c:pt>
                <c:pt idx="59">
                  <c:v>17.288135593220339</c:v>
                </c:pt>
                <c:pt idx="60">
                  <c:v>17.577464788732392</c:v>
                </c:pt>
                <c:pt idx="61">
                  <c:v>16.87037037037037</c:v>
                </c:pt>
                <c:pt idx="62">
                  <c:v>15.291666666666668</c:v>
                </c:pt>
                <c:pt idx="63">
                  <c:v>16.132616487455198</c:v>
                </c:pt>
                <c:pt idx="64">
                  <c:v>18.503311258278146</c:v>
                </c:pt>
                <c:pt idx="65">
                  <c:v>15.98</c:v>
                </c:pt>
                <c:pt idx="66">
                  <c:v>16.766666666666666</c:v>
                </c:pt>
                <c:pt idx="67">
                  <c:v>17.125</c:v>
                </c:pt>
                <c:pt idx="68">
                  <c:v>15.458333333333334</c:v>
                </c:pt>
                <c:pt idx="69">
                  <c:v>15.539682539682541</c:v>
                </c:pt>
                <c:pt idx="70">
                  <c:v>13.8974358974359</c:v>
                </c:pt>
                <c:pt idx="71">
                  <c:v>16.940000000000001</c:v>
                </c:pt>
                <c:pt idx="72">
                  <c:v>16.028571428571428</c:v>
                </c:pt>
                <c:pt idx="73">
                  <c:v>17.104166666666664</c:v>
                </c:pt>
                <c:pt idx="74">
                  <c:v>16.7</c:v>
                </c:pt>
                <c:pt idx="75">
                  <c:v>14.125000000000002</c:v>
                </c:pt>
                <c:pt idx="76">
                  <c:v>17.606837606837605</c:v>
                </c:pt>
                <c:pt idx="77">
                  <c:v>17.178571428571427</c:v>
                </c:pt>
                <c:pt idx="78">
                  <c:v>13.772727272727272</c:v>
                </c:pt>
              </c:numCache>
            </c:numRef>
          </c:yVal>
          <c:smooth val="0"/>
          <c:extLst>
            <c:ext xmlns:c15="http://schemas.microsoft.com/office/drawing/2012/chart" uri="{02D57815-91ED-43cb-92C2-25804820EDAC}">
              <c15:datalabelsRange>
                <c15:f>Alusharidus!$A$4:$A$82</c15:f>
                <c15:dlblRangeCache>
                  <c:ptCount val="79"/>
                  <c:pt idx="0">
                    <c:v>Tallinna linn</c:v>
                  </c:pt>
                  <c:pt idx="1">
                    <c:v>Anija vald</c:v>
                  </c:pt>
                  <c:pt idx="2">
                    <c:v>Harku vald</c:v>
                  </c:pt>
                  <c:pt idx="3">
                    <c:v>Jõelähtme vald</c:v>
                  </c:pt>
                  <c:pt idx="4">
                    <c:v>Keila linn</c:v>
                  </c:pt>
                  <c:pt idx="5">
                    <c:v>Kiili vald</c:v>
                  </c:pt>
                  <c:pt idx="6">
                    <c:v>Kose vald</c:v>
                  </c:pt>
                  <c:pt idx="7">
                    <c:v>Kuusalu vald</c:v>
                  </c:pt>
                  <c:pt idx="8">
                    <c:v>Loksa linn</c:v>
                  </c:pt>
                  <c:pt idx="9">
                    <c:v>Maardu linn</c:v>
                  </c:pt>
                  <c:pt idx="10">
                    <c:v>Raasiku vald</c:v>
                  </c:pt>
                  <c:pt idx="11">
                    <c:v>Rae vald</c:v>
                  </c:pt>
                  <c:pt idx="12">
                    <c:v>Saku vald</c:v>
                  </c:pt>
                  <c:pt idx="13">
                    <c:v>Saue vald</c:v>
                  </c:pt>
                  <c:pt idx="14">
                    <c:v>Viimsi vald</c:v>
                  </c:pt>
                  <c:pt idx="15">
                    <c:v>Lääne-Harju vald</c:v>
                  </c:pt>
                  <c:pt idx="16">
                    <c:v>Hiiumaa vald</c:v>
                  </c:pt>
                  <c:pt idx="17">
                    <c:v>Jõhvi vald</c:v>
                  </c:pt>
                  <c:pt idx="18">
                    <c:v>Kohtla-Järve linn</c:v>
                  </c:pt>
                  <c:pt idx="19">
                    <c:v>Lüganuse vald</c:v>
                  </c:pt>
                  <c:pt idx="20">
                    <c:v>Narva linn</c:v>
                  </c:pt>
                  <c:pt idx="21">
                    <c:v>Narva-Jõesuu linn</c:v>
                  </c:pt>
                  <c:pt idx="22">
                    <c:v>Sillamäe linn</c:v>
                  </c:pt>
                  <c:pt idx="23">
                    <c:v>Toila vald</c:v>
                  </c:pt>
                  <c:pt idx="24">
                    <c:v>Alutaguse vald</c:v>
                  </c:pt>
                  <c:pt idx="25">
                    <c:v>Paide linn</c:v>
                  </c:pt>
                  <c:pt idx="26">
                    <c:v>Türi vald</c:v>
                  </c:pt>
                  <c:pt idx="27">
                    <c:v>Järva vald</c:v>
                  </c:pt>
                  <c:pt idx="28">
                    <c:v>Jõgeva vald</c:v>
                  </c:pt>
                  <c:pt idx="29">
                    <c:v>Põltsamaa vald</c:v>
                  </c:pt>
                  <c:pt idx="30">
                    <c:v>Mustvee vald</c:v>
                  </c:pt>
                  <c:pt idx="31">
                    <c:v>Haapsalu linn</c:v>
                  </c:pt>
                  <c:pt idx="32">
                    <c:v>Vormsi vald</c:v>
                  </c:pt>
                  <c:pt idx="33">
                    <c:v>Lääne-Nigula vald</c:v>
                  </c:pt>
                  <c:pt idx="34">
                    <c:v>Haljala vald</c:v>
                  </c:pt>
                  <c:pt idx="35">
                    <c:v>Kadrina vald</c:v>
                  </c:pt>
                  <c:pt idx="36">
                    <c:v>Rakvere linn</c:v>
                  </c:pt>
                  <c:pt idx="37">
                    <c:v>Rakvere vald</c:v>
                  </c:pt>
                  <c:pt idx="38">
                    <c:v>Tapa vald</c:v>
                  </c:pt>
                  <c:pt idx="39">
                    <c:v>Vinni vald</c:v>
                  </c:pt>
                  <c:pt idx="40">
                    <c:v>Viru-Nigula vald</c:v>
                  </c:pt>
                  <c:pt idx="41">
                    <c:v>Väike-Maarja vald</c:v>
                  </c:pt>
                  <c:pt idx="42">
                    <c:v>Häädemeeste vald</c:v>
                  </c:pt>
                  <c:pt idx="43">
                    <c:v>Kihnu vald</c:v>
                  </c:pt>
                  <c:pt idx="44">
                    <c:v>Saarde vald</c:v>
                  </c:pt>
                  <c:pt idx="45">
                    <c:v>Pärnu linn</c:v>
                  </c:pt>
                  <c:pt idx="46">
                    <c:v>Tori vald</c:v>
                  </c:pt>
                  <c:pt idx="47">
                    <c:v>Põhja-Pärnumaa vald</c:v>
                  </c:pt>
                  <c:pt idx="48">
                    <c:v>Lääneranna vald</c:v>
                  </c:pt>
                  <c:pt idx="49">
                    <c:v>Kanepi vald</c:v>
                  </c:pt>
                  <c:pt idx="50">
                    <c:v>Põlva vald</c:v>
                  </c:pt>
                  <c:pt idx="51">
                    <c:v>Räpina vald</c:v>
                  </c:pt>
                  <c:pt idx="52">
                    <c:v>Kehtna vald</c:v>
                  </c:pt>
                  <c:pt idx="53">
                    <c:v>Kohila vald</c:v>
                  </c:pt>
                  <c:pt idx="54">
                    <c:v>Märjamaa vald</c:v>
                  </c:pt>
                  <c:pt idx="55">
                    <c:v>Rapla vald</c:v>
                  </c:pt>
                  <c:pt idx="56">
                    <c:v>Muhu vald</c:v>
                  </c:pt>
                  <c:pt idx="57">
                    <c:v>Ruhnu vald</c:v>
                  </c:pt>
                  <c:pt idx="58">
                    <c:v>Saaremaa vald</c:v>
                  </c:pt>
                  <c:pt idx="59">
                    <c:v>Kambja vald</c:v>
                  </c:pt>
                  <c:pt idx="60">
                    <c:v>Luunja vald</c:v>
                  </c:pt>
                  <c:pt idx="61">
                    <c:v>Nõo vald</c:v>
                  </c:pt>
                  <c:pt idx="62">
                    <c:v>Peipsiääre vald</c:v>
                  </c:pt>
                  <c:pt idx="63">
                    <c:v>Tartu linn</c:v>
                  </c:pt>
                  <c:pt idx="64">
                    <c:v>Tartu vald</c:v>
                  </c:pt>
                  <c:pt idx="65">
                    <c:v>Elva vald</c:v>
                  </c:pt>
                  <c:pt idx="66">
                    <c:v>Kastre vald</c:v>
                  </c:pt>
                  <c:pt idx="67">
                    <c:v>Mulgi vald</c:v>
                  </c:pt>
                  <c:pt idx="68">
                    <c:v>Viljandi linn</c:v>
                  </c:pt>
                  <c:pt idx="69">
                    <c:v>Viljandi vald</c:v>
                  </c:pt>
                  <c:pt idx="70">
                    <c:v>Põhja-Sakala vald</c:v>
                  </c:pt>
                  <c:pt idx="71">
                    <c:v>Otepää vald</c:v>
                  </c:pt>
                  <c:pt idx="72">
                    <c:v>Valga vald</c:v>
                  </c:pt>
                  <c:pt idx="73">
                    <c:v>Tõrva vald</c:v>
                  </c:pt>
                  <c:pt idx="74">
                    <c:v>Antsla vald</c:v>
                  </c:pt>
                  <c:pt idx="75">
                    <c:v>Rõuge vald</c:v>
                  </c:pt>
                  <c:pt idx="76">
                    <c:v>Võru linn</c:v>
                  </c:pt>
                  <c:pt idx="77">
                    <c:v>Võru vald</c:v>
                  </c:pt>
                  <c:pt idx="78">
                    <c:v>Setomaa vald</c:v>
                  </c:pt>
                </c15:dlblRangeCache>
              </c15:datalabelsRange>
            </c:ext>
            <c:ext xmlns:c16="http://schemas.microsoft.com/office/drawing/2014/chart" uri="{C3380CC4-5D6E-409C-BE32-E72D297353CC}">
              <c16:uniqueId val="{0000004F-2032-40AD-A1C5-060E15DE2C23}"/>
            </c:ext>
          </c:extLst>
        </c:ser>
        <c:dLbls>
          <c:showLegendKey val="0"/>
          <c:showVal val="0"/>
          <c:showCatName val="0"/>
          <c:showSerName val="0"/>
          <c:showPercent val="0"/>
          <c:showBubbleSize val="0"/>
        </c:dLbls>
        <c:axId val="1328638975"/>
        <c:axId val="997580256"/>
      </c:scatterChart>
      <c:valAx>
        <c:axId val="1328638975"/>
        <c:scaling>
          <c:orientation val="minMax"/>
          <c:max val="1000"/>
          <c:min val="40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Kulu lapse kohta kuus</a:t>
                </a:r>
                <a:r>
                  <a:rPr lang="et-EE"/>
                  <a:t> (eurot)</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997580256"/>
        <c:crosses val="autoZero"/>
        <c:crossBetween val="midCat"/>
      </c:valAx>
      <c:valAx>
        <c:axId val="997580256"/>
        <c:scaling>
          <c:orientation val="minMax"/>
          <c:min val="1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t-EE"/>
                  <a:t>Rühma</a:t>
                </a:r>
                <a:r>
                  <a:rPr lang="et-EE" baseline="0"/>
                  <a:t> täitumus</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328638975"/>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t-EE"/>
              <a:t>KOV</a:t>
            </a:r>
            <a:r>
              <a:rPr lang="et-EE" baseline="0"/>
              <a:t> kaetav osa l</a:t>
            </a:r>
            <a:r>
              <a:rPr lang="et-EE"/>
              <a:t>asteaiakoha maksumusest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t-EE"/>
        </a:p>
      </c:txPr>
    </c:title>
    <c:autoTitleDeleted val="0"/>
    <c:plotArea>
      <c:layout/>
      <c:scatterChart>
        <c:scatterStyle val="lineMarker"/>
        <c:varyColors val="0"/>
        <c:ser>
          <c:idx val="0"/>
          <c:order val="0"/>
          <c:spPr>
            <a:ln w="28575" cap="rnd">
              <a:noFill/>
              <a:round/>
            </a:ln>
            <a:effectLst/>
          </c:spPr>
          <c:marker>
            <c:symbol val="circle"/>
            <c:size val="5"/>
            <c:spPr>
              <a:solidFill>
                <a:schemeClr val="accent1"/>
              </a:solidFill>
              <a:ln w="9525">
                <a:solidFill>
                  <a:schemeClr val="accent1"/>
                </a:solidFill>
              </a:ln>
              <a:effectLst/>
            </c:spPr>
          </c:marker>
          <c:dLbls>
            <c:dLbl>
              <c:idx val="0"/>
              <c:tx>
                <c:rich>
                  <a:bodyPr/>
                  <a:lstStyle/>
                  <a:p>
                    <a:fld id="{49278059-1CFA-4E72-BCE3-9C17488D2E11}"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A4DB-4302-B457-715FD6854A22}"/>
                </c:ext>
              </c:extLst>
            </c:dLbl>
            <c:dLbl>
              <c:idx val="1"/>
              <c:tx>
                <c:rich>
                  <a:bodyPr/>
                  <a:lstStyle/>
                  <a:p>
                    <a:fld id="{E78C08A9-AB41-47C3-B9B2-15E23B683AD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A4DB-4302-B457-715FD6854A22}"/>
                </c:ext>
              </c:extLst>
            </c:dLbl>
            <c:dLbl>
              <c:idx val="2"/>
              <c:tx>
                <c:rich>
                  <a:bodyPr/>
                  <a:lstStyle/>
                  <a:p>
                    <a:fld id="{BA99F0B4-4287-456D-8C7D-54BE34D1A39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A4DB-4302-B457-715FD6854A22}"/>
                </c:ext>
              </c:extLst>
            </c:dLbl>
            <c:dLbl>
              <c:idx val="3"/>
              <c:tx>
                <c:rich>
                  <a:bodyPr/>
                  <a:lstStyle/>
                  <a:p>
                    <a:fld id="{93012D06-92CE-49C7-801D-D4A036CA76C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A4DB-4302-B457-715FD6854A22}"/>
                </c:ext>
              </c:extLst>
            </c:dLbl>
            <c:dLbl>
              <c:idx val="4"/>
              <c:tx>
                <c:rich>
                  <a:bodyPr/>
                  <a:lstStyle/>
                  <a:p>
                    <a:fld id="{AE3EF908-100D-49DA-B008-4C0D9CA2E7B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A4DB-4302-B457-715FD6854A22}"/>
                </c:ext>
              </c:extLst>
            </c:dLbl>
            <c:dLbl>
              <c:idx val="5"/>
              <c:tx>
                <c:rich>
                  <a:bodyPr/>
                  <a:lstStyle/>
                  <a:p>
                    <a:fld id="{918E3CB9-C6E6-46F9-AAB4-E8E990C0AA9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A4DB-4302-B457-715FD6854A22}"/>
                </c:ext>
              </c:extLst>
            </c:dLbl>
            <c:dLbl>
              <c:idx val="6"/>
              <c:tx>
                <c:rich>
                  <a:bodyPr/>
                  <a:lstStyle/>
                  <a:p>
                    <a:fld id="{33568001-4C1E-4501-91D8-92A1576B414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A4DB-4302-B457-715FD6854A22}"/>
                </c:ext>
              </c:extLst>
            </c:dLbl>
            <c:dLbl>
              <c:idx val="7"/>
              <c:tx>
                <c:rich>
                  <a:bodyPr/>
                  <a:lstStyle/>
                  <a:p>
                    <a:fld id="{A1E296A9-7B3F-45F0-BEFE-F7D7AD2AC1D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A4DB-4302-B457-715FD6854A22}"/>
                </c:ext>
              </c:extLst>
            </c:dLbl>
            <c:dLbl>
              <c:idx val="8"/>
              <c:tx>
                <c:rich>
                  <a:bodyPr/>
                  <a:lstStyle/>
                  <a:p>
                    <a:fld id="{E3796103-19C3-4F1F-9502-CDD30062226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A4DB-4302-B457-715FD6854A22}"/>
                </c:ext>
              </c:extLst>
            </c:dLbl>
            <c:dLbl>
              <c:idx val="9"/>
              <c:tx>
                <c:rich>
                  <a:bodyPr/>
                  <a:lstStyle/>
                  <a:p>
                    <a:fld id="{51748E13-2495-46EB-A3AA-EC5E37AF0CD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A4DB-4302-B457-715FD6854A22}"/>
                </c:ext>
              </c:extLst>
            </c:dLbl>
            <c:dLbl>
              <c:idx val="10"/>
              <c:tx>
                <c:rich>
                  <a:bodyPr/>
                  <a:lstStyle/>
                  <a:p>
                    <a:fld id="{16B837D0-1C69-443E-89FB-0B57610D133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A4DB-4302-B457-715FD6854A22}"/>
                </c:ext>
              </c:extLst>
            </c:dLbl>
            <c:dLbl>
              <c:idx val="11"/>
              <c:tx>
                <c:rich>
                  <a:bodyPr/>
                  <a:lstStyle/>
                  <a:p>
                    <a:fld id="{1B8D3784-7CB1-4365-8C59-16A959FB25D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A4DB-4302-B457-715FD6854A22}"/>
                </c:ext>
              </c:extLst>
            </c:dLbl>
            <c:dLbl>
              <c:idx val="12"/>
              <c:tx>
                <c:rich>
                  <a:bodyPr/>
                  <a:lstStyle/>
                  <a:p>
                    <a:fld id="{D1D54407-59A9-41BA-983E-17FA216BD7F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A4DB-4302-B457-715FD6854A22}"/>
                </c:ext>
              </c:extLst>
            </c:dLbl>
            <c:dLbl>
              <c:idx val="13"/>
              <c:tx>
                <c:rich>
                  <a:bodyPr/>
                  <a:lstStyle/>
                  <a:p>
                    <a:fld id="{B0C42C3E-135B-422F-89FF-99F4A8AC9B8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A4DB-4302-B457-715FD6854A22}"/>
                </c:ext>
              </c:extLst>
            </c:dLbl>
            <c:dLbl>
              <c:idx val="14"/>
              <c:tx>
                <c:rich>
                  <a:bodyPr/>
                  <a:lstStyle/>
                  <a:p>
                    <a:fld id="{67F8ADAD-BF4E-4A4C-B7BA-5C3E1EEDF01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A4DB-4302-B457-715FD6854A22}"/>
                </c:ext>
              </c:extLst>
            </c:dLbl>
            <c:dLbl>
              <c:idx val="15"/>
              <c:tx>
                <c:rich>
                  <a:bodyPr/>
                  <a:lstStyle/>
                  <a:p>
                    <a:fld id="{BA7B515F-D4F7-491D-9903-9E4D9332BB2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A4DB-4302-B457-715FD6854A22}"/>
                </c:ext>
              </c:extLst>
            </c:dLbl>
            <c:dLbl>
              <c:idx val="16"/>
              <c:tx>
                <c:rich>
                  <a:bodyPr/>
                  <a:lstStyle/>
                  <a:p>
                    <a:fld id="{9383F35E-09B5-40CD-811A-B5FF8855DD3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A4DB-4302-B457-715FD6854A22}"/>
                </c:ext>
              </c:extLst>
            </c:dLbl>
            <c:dLbl>
              <c:idx val="17"/>
              <c:tx>
                <c:rich>
                  <a:bodyPr/>
                  <a:lstStyle/>
                  <a:p>
                    <a:fld id="{25999709-C6DA-43C5-A02C-B9EF6742E4F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A4DB-4302-B457-715FD6854A22}"/>
                </c:ext>
              </c:extLst>
            </c:dLbl>
            <c:dLbl>
              <c:idx val="18"/>
              <c:tx>
                <c:rich>
                  <a:bodyPr/>
                  <a:lstStyle/>
                  <a:p>
                    <a:fld id="{45AEF53F-B1AA-4134-9DE1-FDB326DEE9C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A4DB-4302-B457-715FD6854A22}"/>
                </c:ext>
              </c:extLst>
            </c:dLbl>
            <c:dLbl>
              <c:idx val="19"/>
              <c:tx>
                <c:rich>
                  <a:bodyPr/>
                  <a:lstStyle/>
                  <a:p>
                    <a:fld id="{75F5BAE3-2EB1-4A1C-AE4E-E275D6C7AAA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A4DB-4302-B457-715FD6854A22}"/>
                </c:ext>
              </c:extLst>
            </c:dLbl>
            <c:dLbl>
              <c:idx val="20"/>
              <c:tx>
                <c:rich>
                  <a:bodyPr/>
                  <a:lstStyle/>
                  <a:p>
                    <a:fld id="{BDFC6A2F-A5CE-44E0-9297-76EB2083611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A4DB-4302-B457-715FD6854A22}"/>
                </c:ext>
              </c:extLst>
            </c:dLbl>
            <c:dLbl>
              <c:idx val="21"/>
              <c:tx>
                <c:rich>
                  <a:bodyPr/>
                  <a:lstStyle/>
                  <a:p>
                    <a:fld id="{9B65FDB6-E7BA-499D-AE4B-79774029E29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A4DB-4302-B457-715FD6854A22}"/>
                </c:ext>
              </c:extLst>
            </c:dLbl>
            <c:dLbl>
              <c:idx val="22"/>
              <c:tx>
                <c:rich>
                  <a:bodyPr/>
                  <a:lstStyle/>
                  <a:p>
                    <a:fld id="{FE4D70D9-A064-4D23-8BF8-CFE9C28DCAB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A4DB-4302-B457-715FD6854A22}"/>
                </c:ext>
              </c:extLst>
            </c:dLbl>
            <c:dLbl>
              <c:idx val="23"/>
              <c:tx>
                <c:rich>
                  <a:bodyPr/>
                  <a:lstStyle/>
                  <a:p>
                    <a:fld id="{4361333A-FC11-4128-AD97-ED9BB1F6F57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A4DB-4302-B457-715FD6854A22}"/>
                </c:ext>
              </c:extLst>
            </c:dLbl>
            <c:dLbl>
              <c:idx val="24"/>
              <c:tx>
                <c:rich>
                  <a:bodyPr/>
                  <a:lstStyle/>
                  <a:p>
                    <a:fld id="{4217A45F-3A9F-4F74-BDE9-AF64CF430D6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A4DB-4302-B457-715FD6854A22}"/>
                </c:ext>
              </c:extLst>
            </c:dLbl>
            <c:dLbl>
              <c:idx val="25"/>
              <c:tx>
                <c:rich>
                  <a:bodyPr/>
                  <a:lstStyle/>
                  <a:p>
                    <a:fld id="{22468739-67A1-40EC-81FB-B8CB9F8D569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A4DB-4302-B457-715FD6854A22}"/>
                </c:ext>
              </c:extLst>
            </c:dLbl>
            <c:dLbl>
              <c:idx val="26"/>
              <c:tx>
                <c:rich>
                  <a:bodyPr/>
                  <a:lstStyle/>
                  <a:p>
                    <a:fld id="{B36919F1-C15F-471A-B11A-BDD309337C4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A4DB-4302-B457-715FD6854A22}"/>
                </c:ext>
              </c:extLst>
            </c:dLbl>
            <c:dLbl>
              <c:idx val="27"/>
              <c:tx>
                <c:rich>
                  <a:bodyPr/>
                  <a:lstStyle/>
                  <a:p>
                    <a:fld id="{4AF267CE-5DC9-403E-9059-AC6A5FF8AC3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A4DB-4302-B457-715FD6854A22}"/>
                </c:ext>
              </c:extLst>
            </c:dLbl>
            <c:dLbl>
              <c:idx val="28"/>
              <c:tx>
                <c:rich>
                  <a:bodyPr/>
                  <a:lstStyle/>
                  <a:p>
                    <a:fld id="{ACEB06A9-3413-49F6-8722-8E094FD6C8A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A4DB-4302-B457-715FD6854A22}"/>
                </c:ext>
              </c:extLst>
            </c:dLbl>
            <c:dLbl>
              <c:idx val="29"/>
              <c:tx>
                <c:rich>
                  <a:bodyPr/>
                  <a:lstStyle/>
                  <a:p>
                    <a:fld id="{B549B543-2C45-441C-9AD6-489D91E44C3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A4DB-4302-B457-715FD6854A22}"/>
                </c:ext>
              </c:extLst>
            </c:dLbl>
            <c:dLbl>
              <c:idx val="30"/>
              <c:tx>
                <c:rich>
                  <a:bodyPr/>
                  <a:lstStyle/>
                  <a:p>
                    <a:fld id="{BA166D80-57C7-422B-B88A-63B498CC4D3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A4DB-4302-B457-715FD6854A22}"/>
                </c:ext>
              </c:extLst>
            </c:dLbl>
            <c:dLbl>
              <c:idx val="31"/>
              <c:tx>
                <c:rich>
                  <a:bodyPr/>
                  <a:lstStyle/>
                  <a:p>
                    <a:fld id="{5F85E5F9-3D08-4D74-84E3-9DA769716DA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A4DB-4302-B457-715FD6854A22}"/>
                </c:ext>
              </c:extLst>
            </c:dLbl>
            <c:dLbl>
              <c:idx val="32"/>
              <c:tx>
                <c:rich>
                  <a:bodyPr/>
                  <a:lstStyle/>
                  <a:p>
                    <a:fld id="{E7B6341C-C8CF-45EE-9ED6-428199F354E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A4DB-4302-B457-715FD6854A22}"/>
                </c:ext>
              </c:extLst>
            </c:dLbl>
            <c:dLbl>
              <c:idx val="33"/>
              <c:tx>
                <c:rich>
                  <a:bodyPr/>
                  <a:lstStyle/>
                  <a:p>
                    <a:fld id="{6EE8932F-459E-471E-A769-E23BCBDE7DF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A4DB-4302-B457-715FD6854A22}"/>
                </c:ext>
              </c:extLst>
            </c:dLbl>
            <c:dLbl>
              <c:idx val="34"/>
              <c:tx>
                <c:rich>
                  <a:bodyPr/>
                  <a:lstStyle/>
                  <a:p>
                    <a:fld id="{20FB0EFF-9E50-4555-AD4A-A72EC178E30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A4DB-4302-B457-715FD6854A22}"/>
                </c:ext>
              </c:extLst>
            </c:dLbl>
            <c:dLbl>
              <c:idx val="35"/>
              <c:tx>
                <c:rich>
                  <a:bodyPr/>
                  <a:lstStyle/>
                  <a:p>
                    <a:fld id="{7041E51E-98B5-4E6A-A2A5-60A6D63FA14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3-A4DB-4302-B457-715FD6854A22}"/>
                </c:ext>
              </c:extLst>
            </c:dLbl>
            <c:dLbl>
              <c:idx val="36"/>
              <c:tx>
                <c:rich>
                  <a:bodyPr/>
                  <a:lstStyle/>
                  <a:p>
                    <a:fld id="{485EC8AF-0B5F-47C0-812A-B7E3C38D839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4-A4DB-4302-B457-715FD6854A22}"/>
                </c:ext>
              </c:extLst>
            </c:dLbl>
            <c:dLbl>
              <c:idx val="37"/>
              <c:tx>
                <c:rich>
                  <a:bodyPr/>
                  <a:lstStyle/>
                  <a:p>
                    <a:fld id="{F1FFF0A2-6667-4FD5-B402-DD1A74B3FF2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5-A4DB-4302-B457-715FD6854A22}"/>
                </c:ext>
              </c:extLst>
            </c:dLbl>
            <c:dLbl>
              <c:idx val="38"/>
              <c:tx>
                <c:rich>
                  <a:bodyPr/>
                  <a:lstStyle/>
                  <a:p>
                    <a:fld id="{E9F25C65-765D-4F95-A1E8-3061152712B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6-A4DB-4302-B457-715FD6854A22}"/>
                </c:ext>
              </c:extLst>
            </c:dLbl>
            <c:dLbl>
              <c:idx val="39"/>
              <c:tx>
                <c:rich>
                  <a:bodyPr/>
                  <a:lstStyle/>
                  <a:p>
                    <a:fld id="{BA268FB7-23CA-4237-A52C-194FC7A1E94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7-A4DB-4302-B457-715FD6854A22}"/>
                </c:ext>
              </c:extLst>
            </c:dLbl>
            <c:dLbl>
              <c:idx val="40"/>
              <c:tx>
                <c:rich>
                  <a:bodyPr/>
                  <a:lstStyle/>
                  <a:p>
                    <a:fld id="{DA2F2DB3-E567-40E3-91CF-407EF276846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8-A4DB-4302-B457-715FD6854A22}"/>
                </c:ext>
              </c:extLst>
            </c:dLbl>
            <c:dLbl>
              <c:idx val="41"/>
              <c:tx>
                <c:rich>
                  <a:bodyPr/>
                  <a:lstStyle/>
                  <a:p>
                    <a:fld id="{80C1D210-EC72-4D2C-B692-61521378390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9-A4DB-4302-B457-715FD6854A22}"/>
                </c:ext>
              </c:extLst>
            </c:dLbl>
            <c:dLbl>
              <c:idx val="42"/>
              <c:tx>
                <c:rich>
                  <a:bodyPr/>
                  <a:lstStyle/>
                  <a:p>
                    <a:fld id="{D51CF498-EBDB-4E8F-BFA2-1E5F9FB5125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A-A4DB-4302-B457-715FD6854A22}"/>
                </c:ext>
              </c:extLst>
            </c:dLbl>
            <c:dLbl>
              <c:idx val="43"/>
              <c:tx>
                <c:rich>
                  <a:bodyPr/>
                  <a:lstStyle/>
                  <a:p>
                    <a:fld id="{B59A0EEB-5DA7-48AC-AB13-46DC79C56A9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B-A4DB-4302-B457-715FD6854A22}"/>
                </c:ext>
              </c:extLst>
            </c:dLbl>
            <c:dLbl>
              <c:idx val="44"/>
              <c:tx>
                <c:rich>
                  <a:bodyPr/>
                  <a:lstStyle/>
                  <a:p>
                    <a:fld id="{93D95E6E-0BCB-415F-8694-82F11FF86B9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C-A4DB-4302-B457-715FD6854A22}"/>
                </c:ext>
              </c:extLst>
            </c:dLbl>
            <c:dLbl>
              <c:idx val="45"/>
              <c:tx>
                <c:rich>
                  <a:bodyPr/>
                  <a:lstStyle/>
                  <a:p>
                    <a:fld id="{819171A6-E137-4026-A66F-E4A0813CC16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D-A4DB-4302-B457-715FD6854A22}"/>
                </c:ext>
              </c:extLst>
            </c:dLbl>
            <c:dLbl>
              <c:idx val="46"/>
              <c:tx>
                <c:rich>
                  <a:bodyPr/>
                  <a:lstStyle/>
                  <a:p>
                    <a:fld id="{218316D4-110C-490A-B200-BFA5EC6613D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E-A4DB-4302-B457-715FD6854A22}"/>
                </c:ext>
              </c:extLst>
            </c:dLbl>
            <c:dLbl>
              <c:idx val="47"/>
              <c:tx>
                <c:rich>
                  <a:bodyPr/>
                  <a:lstStyle/>
                  <a:p>
                    <a:fld id="{66FFD8C4-EE88-4DE1-8536-ADAEB232677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F-A4DB-4302-B457-715FD6854A22}"/>
                </c:ext>
              </c:extLst>
            </c:dLbl>
            <c:dLbl>
              <c:idx val="48"/>
              <c:tx>
                <c:rich>
                  <a:bodyPr/>
                  <a:lstStyle/>
                  <a:p>
                    <a:fld id="{3EDD1A76-A742-4A1A-A53E-062FF3750FB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0-A4DB-4302-B457-715FD6854A22}"/>
                </c:ext>
              </c:extLst>
            </c:dLbl>
            <c:dLbl>
              <c:idx val="49"/>
              <c:tx>
                <c:rich>
                  <a:bodyPr/>
                  <a:lstStyle/>
                  <a:p>
                    <a:fld id="{81985742-0A88-4C89-96E6-738C7378673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1-A4DB-4302-B457-715FD6854A22}"/>
                </c:ext>
              </c:extLst>
            </c:dLbl>
            <c:dLbl>
              <c:idx val="50"/>
              <c:tx>
                <c:rich>
                  <a:bodyPr/>
                  <a:lstStyle/>
                  <a:p>
                    <a:fld id="{719DBB67-687A-4860-AB00-052E5E31B0E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2-A4DB-4302-B457-715FD6854A22}"/>
                </c:ext>
              </c:extLst>
            </c:dLbl>
            <c:dLbl>
              <c:idx val="51"/>
              <c:tx>
                <c:rich>
                  <a:bodyPr/>
                  <a:lstStyle/>
                  <a:p>
                    <a:fld id="{BB981219-BCAC-440F-9CD2-361ECF98DDD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3-A4DB-4302-B457-715FD6854A22}"/>
                </c:ext>
              </c:extLst>
            </c:dLbl>
            <c:dLbl>
              <c:idx val="52"/>
              <c:tx>
                <c:rich>
                  <a:bodyPr/>
                  <a:lstStyle/>
                  <a:p>
                    <a:fld id="{3BE27FAC-EC86-4A9E-A223-541D7CD420B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4-A4DB-4302-B457-715FD6854A22}"/>
                </c:ext>
              </c:extLst>
            </c:dLbl>
            <c:dLbl>
              <c:idx val="53"/>
              <c:tx>
                <c:rich>
                  <a:bodyPr/>
                  <a:lstStyle/>
                  <a:p>
                    <a:fld id="{34E2A534-2867-4ABB-85FD-B1FE8928FB3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5-A4DB-4302-B457-715FD6854A22}"/>
                </c:ext>
              </c:extLst>
            </c:dLbl>
            <c:dLbl>
              <c:idx val="54"/>
              <c:tx>
                <c:rich>
                  <a:bodyPr/>
                  <a:lstStyle/>
                  <a:p>
                    <a:fld id="{609D4561-3E49-413E-A1B6-0DFFE39106A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6-A4DB-4302-B457-715FD6854A22}"/>
                </c:ext>
              </c:extLst>
            </c:dLbl>
            <c:dLbl>
              <c:idx val="55"/>
              <c:tx>
                <c:rich>
                  <a:bodyPr/>
                  <a:lstStyle/>
                  <a:p>
                    <a:fld id="{707BDC54-E38F-4EFC-996B-B7AECF34D56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7-A4DB-4302-B457-715FD6854A22}"/>
                </c:ext>
              </c:extLst>
            </c:dLbl>
            <c:dLbl>
              <c:idx val="56"/>
              <c:tx>
                <c:rich>
                  <a:bodyPr/>
                  <a:lstStyle/>
                  <a:p>
                    <a:fld id="{68426AFC-831C-40EF-A313-0971426948F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8-A4DB-4302-B457-715FD6854A22}"/>
                </c:ext>
              </c:extLst>
            </c:dLbl>
            <c:dLbl>
              <c:idx val="57"/>
              <c:tx>
                <c:rich>
                  <a:bodyPr/>
                  <a:lstStyle/>
                  <a:p>
                    <a:endParaRPr lang="et-EE"/>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A4DB-4302-B457-715FD6854A22}"/>
                </c:ext>
              </c:extLst>
            </c:dLbl>
            <c:dLbl>
              <c:idx val="58"/>
              <c:tx>
                <c:rich>
                  <a:bodyPr/>
                  <a:lstStyle/>
                  <a:p>
                    <a:fld id="{52E12499-38C6-4CCB-AFBB-B237B05CD95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A-A4DB-4302-B457-715FD6854A22}"/>
                </c:ext>
              </c:extLst>
            </c:dLbl>
            <c:dLbl>
              <c:idx val="59"/>
              <c:tx>
                <c:rich>
                  <a:bodyPr/>
                  <a:lstStyle/>
                  <a:p>
                    <a:fld id="{5A7FBBFD-6712-4EBF-8722-FF96FDE2698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B-A4DB-4302-B457-715FD6854A22}"/>
                </c:ext>
              </c:extLst>
            </c:dLbl>
            <c:dLbl>
              <c:idx val="60"/>
              <c:tx>
                <c:rich>
                  <a:bodyPr/>
                  <a:lstStyle/>
                  <a:p>
                    <a:fld id="{0019DF60-2E33-4C18-B3EA-0F8401ED2A5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C-A4DB-4302-B457-715FD6854A22}"/>
                </c:ext>
              </c:extLst>
            </c:dLbl>
            <c:dLbl>
              <c:idx val="61"/>
              <c:tx>
                <c:rich>
                  <a:bodyPr/>
                  <a:lstStyle/>
                  <a:p>
                    <a:fld id="{B0A7DE87-31AF-4BC8-BADF-6A4C1DE8415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D-A4DB-4302-B457-715FD6854A22}"/>
                </c:ext>
              </c:extLst>
            </c:dLbl>
            <c:dLbl>
              <c:idx val="62"/>
              <c:tx>
                <c:rich>
                  <a:bodyPr/>
                  <a:lstStyle/>
                  <a:p>
                    <a:fld id="{7A73567E-1DA0-4984-A4A0-C56AE87C738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E-A4DB-4302-B457-715FD6854A22}"/>
                </c:ext>
              </c:extLst>
            </c:dLbl>
            <c:dLbl>
              <c:idx val="63"/>
              <c:tx>
                <c:rich>
                  <a:bodyPr/>
                  <a:lstStyle/>
                  <a:p>
                    <a:fld id="{171D7677-8940-4149-B5E7-C1359B56C0F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F-A4DB-4302-B457-715FD6854A22}"/>
                </c:ext>
              </c:extLst>
            </c:dLbl>
            <c:dLbl>
              <c:idx val="64"/>
              <c:tx>
                <c:rich>
                  <a:bodyPr/>
                  <a:lstStyle/>
                  <a:p>
                    <a:fld id="{E186A033-5802-4536-A95F-12663588549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0-A4DB-4302-B457-715FD6854A22}"/>
                </c:ext>
              </c:extLst>
            </c:dLbl>
            <c:dLbl>
              <c:idx val="65"/>
              <c:tx>
                <c:rich>
                  <a:bodyPr/>
                  <a:lstStyle/>
                  <a:p>
                    <a:fld id="{CD6B27DA-734A-4F52-A2CD-8FD2B7B24D8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1-A4DB-4302-B457-715FD6854A22}"/>
                </c:ext>
              </c:extLst>
            </c:dLbl>
            <c:dLbl>
              <c:idx val="66"/>
              <c:tx>
                <c:rich>
                  <a:bodyPr/>
                  <a:lstStyle/>
                  <a:p>
                    <a:fld id="{EAD399DC-E22F-41F4-B76D-1974E2F8AFF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2-A4DB-4302-B457-715FD6854A22}"/>
                </c:ext>
              </c:extLst>
            </c:dLbl>
            <c:dLbl>
              <c:idx val="67"/>
              <c:tx>
                <c:rich>
                  <a:bodyPr/>
                  <a:lstStyle/>
                  <a:p>
                    <a:fld id="{C9DF695F-A2FD-49BF-844C-43D6D595C52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3-A4DB-4302-B457-715FD6854A22}"/>
                </c:ext>
              </c:extLst>
            </c:dLbl>
            <c:dLbl>
              <c:idx val="68"/>
              <c:tx>
                <c:rich>
                  <a:bodyPr/>
                  <a:lstStyle/>
                  <a:p>
                    <a:fld id="{67D03433-7BC4-4014-966B-244D3E1F29A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4-A4DB-4302-B457-715FD6854A22}"/>
                </c:ext>
              </c:extLst>
            </c:dLbl>
            <c:dLbl>
              <c:idx val="69"/>
              <c:tx>
                <c:rich>
                  <a:bodyPr/>
                  <a:lstStyle/>
                  <a:p>
                    <a:fld id="{7A296FE6-9AEF-425D-BC12-479996F7AF0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5-A4DB-4302-B457-715FD6854A22}"/>
                </c:ext>
              </c:extLst>
            </c:dLbl>
            <c:dLbl>
              <c:idx val="70"/>
              <c:tx>
                <c:rich>
                  <a:bodyPr/>
                  <a:lstStyle/>
                  <a:p>
                    <a:fld id="{B4914524-A495-4D61-94FE-DBD562AD0B9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6-A4DB-4302-B457-715FD6854A22}"/>
                </c:ext>
              </c:extLst>
            </c:dLbl>
            <c:dLbl>
              <c:idx val="71"/>
              <c:tx>
                <c:rich>
                  <a:bodyPr/>
                  <a:lstStyle/>
                  <a:p>
                    <a:fld id="{2FC6F90B-E799-4700-AC97-3F7FBCC024B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7-A4DB-4302-B457-715FD6854A22}"/>
                </c:ext>
              </c:extLst>
            </c:dLbl>
            <c:dLbl>
              <c:idx val="72"/>
              <c:tx>
                <c:rich>
                  <a:bodyPr/>
                  <a:lstStyle/>
                  <a:p>
                    <a:fld id="{1975E952-225E-4B7C-8737-A2B7C606DC9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8-A4DB-4302-B457-715FD6854A22}"/>
                </c:ext>
              </c:extLst>
            </c:dLbl>
            <c:dLbl>
              <c:idx val="73"/>
              <c:tx>
                <c:rich>
                  <a:bodyPr/>
                  <a:lstStyle/>
                  <a:p>
                    <a:fld id="{32F6F7AB-1938-437B-816C-D1E1AACCB27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9-A4DB-4302-B457-715FD6854A22}"/>
                </c:ext>
              </c:extLst>
            </c:dLbl>
            <c:dLbl>
              <c:idx val="74"/>
              <c:tx>
                <c:rich>
                  <a:bodyPr/>
                  <a:lstStyle/>
                  <a:p>
                    <a:fld id="{76D268A8-C000-45D7-9A18-8F46BEEC8D2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A-A4DB-4302-B457-715FD6854A22}"/>
                </c:ext>
              </c:extLst>
            </c:dLbl>
            <c:dLbl>
              <c:idx val="75"/>
              <c:tx>
                <c:rich>
                  <a:bodyPr/>
                  <a:lstStyle/>
                  <a:p>
                    <a:fld id="{C39F11E1-7392-4ADC-8FB0-2793282264A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B-A4DB-4302-B457-715FD6854A22}"/>
                </c:ext>
              </c:extLst>
            </c:dLbl>
            <c:dLbl>
              <c:idx val="76"/>
              <c:tx>
                <c:rich>
                  <a:bodyPr/>
                  <a:lstStyle/>
                  <a:p>
                    <a:fld id="{57044E81-2CCE-4ABB-9B52-1A6089F6D07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C-A4DB-4302-B457-715FD6854A22}"/>
                </c:ext>
              </c:extLst>
            </c:dLbl>
            <c:dLbl>
              <c:idx val="77"/>
              <c:tx>
                <c:rich>
                  <a:bodyPr/>
                  <a:lstStyle/>
                  <a:p>
                    <a:fld id="{AD1AB90E-DA93-44D6-B14F-935F3AFC339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D-A4DB-4302-B457-715FD6854A22}"/>
                </c:ext>
              </c:extLst>
            </c:dLbl>
            <c:dLbl>
              <c:idx val="78"/>
              <c:tx>
                <c:rich>
                  <a:bodyPr/>
                  <a:lstStyle/>
                  <a:p>
                    <a:fld id="{E6325D10-593C-4F22-A00C-CE97E4462E6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E-A4DB-4302-B457-715FD6854A2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trendline>
            <c:spPr>
              <a:ln w="19050" cap="rnd">
                <a:solidFill>
                  <a:schemeClr val="accent1"/>
                </a:solidFill>
                <a:prstDash val="sysDot"/>
              </a:ln>
              <a:effectLst/>
            </c:spPr>
            <c:trendlineType val="linear"/>
            <c:dispRSqr val="1"/>
            <c:dispEq val="0"/>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trendlineLbl>
          </c:trendline>
          <c:xVal>
            <c:numRef>
              <c:f>Alusharidus!$BL$4:$BL$82</c:f>
              <c:numCache>
                <c:formatCode>#,##0</c:formatCode>
                <c:ptCount val="79"/>
                <c:pt idx="0">
                  <c:v>592.36225360715241</c:v>
                </c:pt>
                <c:pt idx="1">
                  <c:v>563.4093858041382</c:v>
                </c:pt>
                <c:pt idx="2">
                  <c:v>638.0235831304758</c:v>
                </c:pt>
                <c:pt idx="3">
                  <c:v>684.77758677991108</c:v>
                </c:pt>
                <c:pt idx="4">
                  <c:v>553.78201790633614</c:v>
                </c:pt>
                <c:pt idx="5">
                  <c:v>660.589351247031</c:v>
                </c:pt>
                <c:pt idx="6">
                  <c:v>464.42753508771943</c:v>
                </c:pt>
                <c:pt idx="7">
                  <c:v>525.62400178082737</c:v>
                </c:pt>
                <c:pt idx="8">
                  <c:v>388.69367469879518</c:v>
                </c:pt>
                <c:pt idx="9">
                  <c:v>492.37540055951177</c:v>
                </c:pt>
                <c:pt idx="10">
                  <c:v>458.40319274475524</c:v>
                </c:pt>
                <c:pt idx="11">
                  <c:v>553.78332275767445</c:v>
                </c:pt>
                <c:pt idx="12">
                  <c:v>481.88853927813187</c:v>
                </c:pt>
                <c:pt idx="13">
                  <c:v>532.00169119129202</c:v>
                </c:pt>
                <c:pt idx="14">
                  <c:v>571.01171494440212</c:v>
                </c:pt>
                <c:pt idx="15">
                  <c:v>602.26949772267233</c:v>
                </c:pt>
                <c:pt idx="16">
                  <c:v>589.21861895161294</c:v>
                </c:pt>
                <c:pt idx="17">
                  <c:v>450.41360357142867</c:v>
                </c:pt>
                <c:pt idx="18">
                  <c:v>566.42562969924813</c:v>
                </c:pt>
                <c:pt idx="19">
                  <c:v>715.64692976804133</c:v>
                </c:pt>
                <c:pt idx="20">
                  <c:v>473.40165327676476</c:v>
                </c:pt>
                <c:pt idx="21">
                  <c:v>520.58383986928106</c:v>
                </c:pt>
                <c:pt idx="22">
                  <c:v>462.33894832275615</c:v>
                </c:pt>
                <c:pt idx="23">
                  <c:v>529.1273877805487</c:v>
                </c:pt>
                <c:pt idx="24">
                  <c:v>606.2990160726074</c:v>
                </c:pt>
                <c:pt idx="25">
                  <c:v>501.51007753273626</c:v>
                </c:pt>
                <c:pt idx="26">
                  <c:v>465.51728712534072</c:v>
                </c:pt>
                <c:pt idx="27">
                  <c:v>492.535643807697</c:v>
                </c:pt>
                <c:pt idx="28">
                  <c:v>583.92496402615109</c:v>
                </c:pt>
                <c:pt idx="29">
                  <c:v>508.31731950515928</c:v>
                </c:pt>
                <c:pt idx="30">
                  <c:v>513.16450218818397</c:v>
                </c:pt>
                <c:pt idx="31">
                  <c:v>442.32780135823424</c:v>
                </c:pt>
                <c:pt idx="32">
                  <c:v>1340.5330453082192</c:v>
                </c:pt>
                <c:pt idx="33">
                  <c:v>489.27119163424135</c:v>
                </c:pt>
                <c:pt idx="34">
                  <c:v>590.2053173241851</c:v>
                </c:pt>
                <c:pt idx="35">
                  <c:v>599.38101443636117</c:v>
                </c:pt>
                <c:pt idx="36">
                  <c:v>428.03554039593382</c:v>
                </c:pt>
                <c:pt idx="37">
                  <c:v>602.98116157556274</c:v>
                </c:pt>
                <c:pt idx="38">
                  <c:v>538.99011860932853</c:v>
                </c:pt>
                <c:pt idx="39">
                  <c:v>511.32207240935162</c:v>
                </c:pt>
                <c:pt idx="40">
                  <c:v>414.82386618589743</c:v>
                </c:pt>
                <c:pt idx="41">
                  <c:v>496.39007805659566</c:v>
                </c:pt>
                <c:pt idx="42">
                  <c:v>633.48497810858134</c:v>
                </c:pt>
                <c:pt idx="43">
                  <c:v>401.4753409090909</c:v>
                </c:pt>
                <c:pt idx="44">
                  <c:v>422.67687142857159</c:v>
                </c:pt>
                <c:pt idx="45">
                  <c:v>456.57515803636016</c:v>
                </c:pt>
                <c:pt idx="46">
                  <c:v>490.57965801147196</c:v>
                </c:pt>
                <c:pt idx="47">
                  <c:v>588.15772472556239</c:v>
                </c:pt>
                <c:pt idx="48">
                  <c:v>474.76073792486591</c:v>
                </c:pt>
                <c:pt idx="49">
                  <c:v>590.89701260504216</c:v>
                </c:pt>
                <c:pt idx="50">
                  <c:v>553.8952244487399</c:v>
                </c:pt>
                <c:pt idx="51">
                  <c:v>510.3173431595805</c:v>
                </c:pt>
                <c:pt idx="52">
                  <c:v>445.07614655172415</c:v>
                </c:pt>
                <c:pt idx="53">
                  <c:v>599.7239474678762</c:v>
                </c:pt>
                <c:pt idx="54">
                  <c:v>466.67366456960798</c:v>
                </c:pt>
                <c:pt idx="55">
                  <c:v>551.93865094339628</c:v>
                </c:pt>
                <c:pt idx="56">
                  <c:v>844.40083333333325</c:v>
                </c:pt>
                <c:pt idx="58">
                  <c:v>494.09587210151199</c:v>
                </c:pt>
                <c:pt idx="59">
                  <c:v>637.39765488890339</c:v>
                </c:pt>
                <c:pt idx="60">
                  <c:v>585.01735176282057</c:v>
                </c:pt>
                <c:pt idx="61">
                  <c:v>633.63825192096567</c:v>
                </c:pt>
                <c:pt idx="62">
                  <c:v>493.52941835040377</c:v>
                </c:pt>
                <c:pt idx="63">
                  <c:v>535.38262548751982</c:v>
                </c:pt>
                <c:pt idx="64">
                  <c:v>530.03245973514697</c:v>
                </c:pt>
                <c:pt idx="65">
                  <c:v>559.95751251564468</c:v>
                </c:pt>
                <c:pt idx="66">
                  <c:v>578.81898939695168</c:v>
                </c:pt>
                <c:pt idx="67">
                  <c:v>473.46508819951327</c:v>
                </c:pt>
                <c:pt idx="68">
                  <c:v>505.88159896033881</c:v>
                </c:pt>
                <c:pt idx="69">
                  <c:v>561.15200587334004</c:v>
                </c:pt>
                <c:pt idx="70">
                  <c:v>530.11789898523978</c:v>
                </c:pt>
                <c:pt idx="71">
                  <c:v>414.02197166469887</c:v>
                </c:pt>
                <c:pt idx="72">
                  <c:v>473.68098484848468</c:v>
                </c:pt>
                <c:pt idx="73">
                  <c:v>537.80142509135214</c:v>
                </c:pt>
                <c:pt idx="74">
                  <c:v>471.09134231536945</c:v>
                </c:pt>
                <c:pt idx="75">
                  <c:v>455.9271626106194</c:v>
                </c:pt>
                <c:pt idx="76">
                  <c:v>454.39645266990311</c:v>
                </c:pt>
                <c:pt idx="77">
                  <c:v>524.37291217211794</c:v>
                </c:pt>
                <c:pt idx="78">
                  <c:v>561.19427392739283</c:v>
                </c:pt>
              </c:numCache>
            </c:numRef>
          </c:xVal>
          <c:yVal>
            <c:numRef>
              <c:f>Alusharidus!$BX$4:$BX$82</c:f>
              <c:numCache>
                <c:formatCode>0.0</c:formatCode>
                <c:ptCount val="79"/>
                <c:pt idx="0">
                  <c:v>18.29177461139896</c:v>
                </c:pt>
                <c:pt idx="1">
                  <c:v>16.412698412698411</c:v>
                </c:pt>
                <c:pt idx="2">
                  <c:v>17.407407407407405</c:v>
                </c:pt>
                <c:pt idx="3">
                  <c:v>16.512195121951219</c:v>
                </c:pt>
                <c:pt idx="4">
                  <c:v>17.493975903614459</c:v>
                </c:pt>
                <c:pt idx="5">
                  <c:v>16.839999999999996</c:v>
                </c:pt>
                <c:pt idx="6">
                  <c:v>17.272727272727273</c:v>
                </c:pt>
                <c:pt idx="7">
                  <c:v>16.666666666666668</c:v>
                </c:pt>
                <c:pt idx="8">
                  <c:v>16.600000000000001</c:v>
                </c:pt>
                <c:pt idx="9">
                  <c:v>17.245614035087719</c:v>
                </c:pt>
                <c:pt idx="10">
                  <c:v>18.158730158730162</c:v>
                </c:pt>
                <c:pt idx="11">
                  <c:v>17.669696969696968</c:v>
                </c:pt>
                <c:pt idx="12">
                  <c:v>18.255813953488371</c:v>
                </c:pt>
                <c:pt idx="13">
                  <c:v>18.935114503816791</c:v>
                </c:pt>
                <c:pt idx="14">
                  <c:v>18.346153846153847</c:v>
                </c:pt>
                <c:pt idx="15">
                  <c:v>15.682539682539682</c:v>
                </c:pt>
                <c:pt idx="16">
                  <c:v>15.746031746031747</c:v>
                </c:pt>
                <c:pt idx="17">
                  <c:v>15.555555555555554</c:v>
                </c:pt>
                <c:pt idx="18">
                  <c:v>14</c:v>
                </c:pt>
                <c:pt idx="19">
                  <c:v>13.857142857142854</c:v>
                </c:pt>
                <c:pt idx="20">
                  <c:v>16.938837920489298</c:v>
                </c:pt>
                <c:pt idx="21">
                  <c:v>14.571428571428571</c:v>
                </c:pt>
                <c:pt idx="22">
                  <c:v>15.757142857142856</c:v>
                </c:pt>
                <c:pt idx="23">
                  <c:v>13.366666666666669</c:v>
                </c:pt>
                <c:pt idx="24">
                  <c:v>15.15151515151515</c:v>
                </c:pt>
                <c:pt idx="25">
                  <c:v>16.678160919540229</c:v>
                </c:pt>
                <c:pt idx="26">
                  <c:v>15.452631578947367</c:v>
                </c:pt>
                <c:pt idx="27">
                  <c:v>15.52325581395349</c:v>
                </c:pt>
                <c:pt idx="28">
                  <c:v>15.601626016260163</c:v>
                </c:pt>
                <c:pt idx="29">
                  <c:v>15.772727272727272</c:v>
                </c:pt>
                <c:pt idx="30">
                  <c:v>13.441176470588236</c:v>
                </c:pt>
                <c:pt idx="31">
                  <c:v>16.211009174311926</c:v>
                </c:pt>
                <c:pt idx="32">
                  <c:v>5.333333333333333</c:v>
                </c:pt>
                <c:pt idx="33">
                  <c:v>15.343283582089555</c:v>
                </c:pt>
                <c:pt idx="34">
                  <c:v>13.25</c:v>
                </c:pt>
                <c:pt idx="35">
                  <c:v>14.490196078431373</c:v>
                </c:pt>
                <c:pt idx="36">
                  <c:v>16.539823008849559</c:v>
                </c:pt>
                <c:pt idx="37">
                  <c:v>17.277777777777775</c:v>
                </c:pt>
                <c:pt idx="38">
                  <c:v>13.846153846153847</c:v>
                </c:pt>
                <c:pt idx="39">
                  <c:v>16.934426229508194</c:v>
                </c:pt>
                <c:pt idx="40">
                  <c:v>14.857142857142858</c:v>
                </c:pt>
                <c:pt idx="41">
                  <c:v>14.745454545454546</c:v>
                </c:pt>
                <c:pt idx="42">
                  <c:v>13.595238095238097</c:v>
                </c:pt>
                <c:pt idx="43">
                  <c:v>14.666666666666668</c:v>
                </c:pt>
                <c:pt idx="44">
                  <c:v>19.444444444444443</c:v>
                </c:pt>
                <c:pt idx="45">
                  <c:v>17.929046563192905</c:v>
                </c:pt>
                <c:pt idx="46">
                  <c:v>17.982142857142858</c:v>
                </c:pt>
                <c:pt idx="47">
                  <c:v>14.787500000000001</c:v>
                </c:pt>
                <c:pt idx="48">
                  <c:v>15.527777777777777</c:v>
                </c:pt>
                <c:pt idx="49">
                  <c:v>15.256410256410255</c:v>
                </c:pt>
                <c:pt idx="50">
                  <c:v>15.527272727272726</c:v>
                </c:pt>
                <c:pt idx="51">
                  <c:v>16.051282051282051</c:v>
                </c:pt>
                <c:pt idx="52">
                  <c:v>17.755102040816329</c:v>
                </c:pt>
                <c:pt idx="53">
                  <c:v>18.375</c:v>
                </c:pt>
                <c:pt idx="54">
                  <c:v>17.735849056603772</c:v>
                </c:pt>
                <c:pt idx="55">
                  <c:v>17.966101694915256</c:v>
                </c:pt>
                <c:pt idx="56">
                  <c:v>13.5</c:v>
                </c:pt>
                <c:pt idx="58">
                  <c:v>16.348314606741575</c:v>
                </c:pt>
                <c:pt idx="59">
                  <c:v>17.288135593220339</c:v>
                </c:pt>
                <c:pt idx="60">
                  <c:v>17.577464788732392</c:v>
                </c:pt>
                <c:pt idx="61">
                  <c:v>16.87037037037037</c:v>
                </c:pt>
                <c:pt idx="62">
                  <c:v>15.291666666666668</c:v>
                </c:pt>
                <c:pt idx="63">
                  <c:v>16.132616487455198</c:v>
                </c:pt>
                <c:pt idx="64">
                  <c:v>18.503311258278146</c:v>
                </c:pt>
                <c:pt idx="65">
                  <c:v>15.98</c:v>
                </c:pt>
                <c:pt idx="66">
                  <c:v>16.766666666666666</c:v>
                </c:pt>
                <c:pt idx="67">
                  <c:v>17.125</c:v>
                </c:pt>
                <c:pt idx="68">
                  <c:v>15.458333333333334</c:v>
                </c:pt>
                <c:pt idx="69">
                  <c:v>15.539682539682541</c:v>
                </c:pt>
                <c:pt idx="70">
                  <c:v>13.8974358974359</c:v>
                </c:pt>
                <c:pt idx="71">
                  <c:v>16.940000000000001</c:v>
                </c:pt>
                <c:pt idx="72">
                  <c:v>16.028571428571428</c:v>
                </c:pt>
                <c:pt idx="73">
                  <c:v>17.104166666666664</c:v>
                </c:pt>
                <c:pt idx="74">
                  <c:v>16.7</c:v>
                </c:pt>
                <c:pt idx="75">
                  <c:v>14.125000000000002</c:v>
                </c:pt>
                <c:pt idx="76">
                  <c:v>17.606837606837605</c:v>
                </c:pt>
                <c:pt idx="77">
                  <c:v>17.178571428571427</c:v>
                </c:pt>
                <c:pt idx="78">
                  <c:v>13.772727272727272</c:v>
                </c:pt>
              </c:numCache>
            </c:numRef>
          </c:yVal>
          <c:smooth val="0"/>
          <c:extLst>
            <c:ext xmlns:c15="http://schemas.microsoft.com/office/drawing/2012/chart" uri="{02D57815-91ED-43cb-92C2-25804820EDAC}">
              <c15:datalabelsRange>
                <c15:f>Alusharidus!$A$4:$A$82</c15:f>
                <c15:dlblRangeCache>
                  <c:ptCount val="79"/>
                  <c:pt idx="0">
                    <c:v>Tallinna linn</c:v>
                  </c:pt>
                  <c:pt idx="1">
                    <c:v>Anija vald</c:v>
                  </c:pt>
                  <c:pt idx="2">
                    <c:v>Harku vald</c:v>
                  </c:pt>
                  <c:pt idx="3">
                    <c:v>Jõelähtme vald</c:v>
                  </c:pt>
                  <c:pt idx="4">
                    <c:v>Keila linn</c:v>
                  </c:pt>
                  <c:pt idx="5">
                    <c:v>Kiili vald</c:v>
                  </c:pt>
                  <c:pt idx="6">
                    <c:v>Kose vald</c:v>
                  </c:pt>
                  <c:pt idx="7">
                    <c:v>Kuusalu vald</c:v>
                  </c:pt>
                  <c:pt idx="8">
                    <c:v>Loksa linn</c:v>
                  </c:pt>
                  <c:pt idx="9">
                    <c:v>Maardu linn</c:v>
                  </c:pt>
                  <c:pt idx="10">
                    <c:v>Raasiku vald</c:v>
                  </c:pt>
                  <c:pt idx="11">
                    <c:v>Rae vald</c:v>
                  </c:pt>
                  <c:pt idx="12">
                    <c:v>Saku vald</c:v>
                  </c:pt>
                  <c:pt idx="13">
                    <c:v>Saue vald</c:v>
                  </c:pt>
                  <c:pt idx="14">
                    <c:v>Viimsi vald</c:v>
                  </c:pt>
                  <c:pt idx="15">
                    <c:v>Lääne-Harju vald</c:v>
                  </c:pt>
                  <c:pt idx="16">
                    <c:v>Hiiumaa vald</c:v>
                  </c:pt>
                  <c:pt idx="17">
                    <c:v>Jõhvi vald</c:v>
                  </c:pt>
                  <c:pt idx="18">
                    <c:v>Kohtla-Järve linn</c:v>
                  </c:pt>
                  <c:pt idx="19">
                    <c:v>Lüganuse vald</c:v>
                  </c:pt>
                  <c:pt idx="20">
                    <c:v>Narva linn</c:v>
                  </c:pt>
                  <c:pt idx="21">
                    <c:v>Narva-Jõesuu linn</c:v>
                  </c:pt>
                  <c:pt idx="22">
                    <c:v>Sillamäe linn</c:v>
                  </c:pt>
                  <c:pt idx="23">
                    <c:v>Toila vald</c:v>
                  </c:pt>
                  <c:pt idx="24">
                    <c:v>Alutaguse vald</c:v>
                  </c:pt>
                  <c:pt idx="25">
                    <c:v>Paide linn</c:v>
                  </c:pt>
                  <c:pt idx="26">
                    <c:v>Türi vald</c:v>
                  </c:pt>
                  <c:pt idx="27">
                    <c:v>Järva vald</c:v>
                  </c:pt>
                  <c:pt idx="28">
                    <c:v>Jõgeva vald</c:v>
                  </c:pt>
                  <c:pt idx="29">
                    <c:v>Põltsamaa vald</c:v>
                  </c:pt>
                  <c:pt idx="30">
                    <c:v>Mustvee vald</c:v>
                  </c:pt>
                  <c:pt idx="31">
                    <c:v>Haapsalu linn</c:v>
                  </c:pt>
                  <c:pt idx="32">
                    <c:v>Vormsi vald</c:v>
                  </c:pt>
                  <c:pt idx="33">
                    <c:v>Lääne-Nigula vald</c:v>
                  </c:pt>
                  <c:pt idx="34">
                    <c:v>Haljala vald</c:v>
                  </c:pt>
                  <c:pt idx="35">
                    <c:v>Kadrina vald</c:v>
                  </c:pt>
                  <c:pt idx="36">
                    <c:v>Rakvere linn</c:v>
                  </c:pt>
                  <c:pt idx="37">
                    <c:v>Rakvere vald</c:v>
                  </c:pt>
                  <c:pt idx="38">
                    <c:v>Tapa vald</c:v>
                  </c:pt>
                  <c:pt idx="39">
                    <c:v>Vinni vald</c:v>
                  </c:pt>
                  <c:pt idx="40">
                    <c:v>Viru-Nigula vald</c:v>
                  </c:pt>
                  <c:pt idx="41">
                    <c:v>Väike-Maarja vald</c:v>
                  </c:pt>
                  <c:pt idx="42">
                    <c:v>Häädemeeste vald</c:v>
                  </c:pt>
                  <c:pt idx="43">
                    <c:v>Kihnu vald</c:v>
                  </c:pt>
                  <c:pt idx="44">
                    <c:v>Saarde vald</c:v>
                  </c:pt>
                  <c:pt idx="45">
                    <c:v>Pärnu linn</c:v>
                  </c:pt>
                  <c:pt idx="46">
                    <c:v>Tori vald</c:v>
                  </c:pt>
                  <c:pt idx="47">
                    <c:v>Põhja-Pärnumaa vald</c:v>
                  </c:pt>
                  <c:pt idx="48">
                    <c:v>Lääneranna vald</c:v>
                  </c:pt>
                  <c:pt idx="49">
                    <c:v>Kanepi vald</c:v>
                  </c:pt>
                  <c:pt idx="50">
                    <c:v>Põlva vald</c:v>
                  </c:pt>
                  <c:pt idx="51">
                    <c:v>Räpina vald</c:v>
                  </c:pt>
                  <c:pt idx="52">
                    <c:v>Kehtna vald</c:v>
                  </c:pt>
                  <c:pt idx="53">
                    <c:v>Kohila vald</c:v>
                  </c:pt>
                  <c:pt idx="54">
                    <c:v>Märjamaa vald</c:v>
                  </c:pt>
                  <c:pt idx="55">
                    <c:v>Rapla vald</c:v>
                  </c:pt>
                  <c:pt idx="56">
                    <c:v>Muhu vald</c:v>
                  </c:pt>
                  <c:pt idx="57">
                    <c:v>Ruhnu vald</c:v>
                  </c:pt>
                  <c:pt idx="58">
                    <c:v>Saaremaa vald</c:v>
                  </c:pt>
                  <c:pt idx="59">
                    <c:v>Kambja vald</c:v>
                  </c:pt>
                  <c:pt idx="60">
                    <c:v>Luunja vald</c:v>
                  </c:pt>
                  <c:pt idx="61">
                    <c:v>Nõo vald</c:v>
                  </c:pt>
                  <c:pt idx="62">
                    <c:v>Peipsiääre vald</c:v>
                  </c:pt>
                  <c:pt idx="63">
                    <c:v>Tartu linn</c:v>
                  </c:pt>
                  <c:pt idx="64">
                    <c:v>Tartu vald</c:v>
                  </c:pt>
                  <c:pt idx="65">
                    <c:v>Elva vald</c:v>
                  </c:pt>
                  <c:pt idx="66">
                    <c:v>Kastre vald</c:v>
                  </c:pt>
                  <c:pt idx="67">
                    <c:v>Mulgi vald</c:v>
                  </c:pt>
                  <c:pt idx="68">
                    <c:v>Viljandi linn</c:v>
                  </c:pt>
                  <c:pt idx="69">
                    <c:v>Viljandi vald</c:v>
                  </c:pt>
                  <c:pt idx="70">
                    <c:v>Põhja-Sakala vald</c:v>
                  </c:pt>
                  <c:pt idx="71">
                    <c:v>Otepää vald</c:v>
                  </c:pt>
                  <c:pt idx="72">
                    <c:v>Valga vald</c:v>
                  </c:pt>
                  <c:pt idx="73">
                    <c:v>Tõrva vald</c:v>
                  </c:pt>
                  <c:pt idx="74">
                    <c:v>Antsla vald</c:v>
                  </c:pt>
                  <c:pt idx="75">
                    <c:v>Rõuge vald</c:v>
                  </c:pt>
                  <c:pt idx="76">
                    <c:v>Võru linn</c:v>
                  </c:pt>
                  <c:pt idx="77">
                    <c:v>Võru vald</c:v>
                  </c:pt>
                  <c:pt idx="78">
                    <c:v>Setomaa vald</c:v>
                  </c:pt>
                </c15:dlblRangeCache>
              </c15:datalabelsRange>
            </c:ext>
            <c:ext xmlns:c16="http://schemas.microsoft.com/office/drawing/2014/chart" uri="{C3380CC4-5D6E-409C-BE32-E72D297353CC}">
              <c16:uniqueId val="{0000004F-A4DB-4302-B457-715FD6854A22}"/>
            </c:ext>
          </c:extLst>
        </c:ser>
        <c:dLbls>
          <c:showLegendKey val="0"/>
          <c:showVal val="0"/>
          <c:showCatName val="0"/>
          <c:showSerName val="0"/>
          <c:showPercent val="0"/>
          <c:showBubbleSize val="0"/>
        </c:dLbls>
        <c:axId val="1328638975"/>
        <c:axId val="997580256"/>
      </c:scatterChart>
      <c:valAx>
        <c:axId val="1328638975"/>
        <c:scaling>
          <c:orientation val="minMax"/>
          <c:max val="1000"/>
          <c:min val="30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Kulu lapse kohta kuus</a:t>
                </a:r>
                <a:r>
                  <a:rPr lang="et-EE"/>
                  <a:t> (eurot)</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997580256"/>
        <c:crosses val="autoZero"/>
        <c:crossBetween val="midCat"/>
      </c:valAx>
      <c:valAx>
        <c:axId val="997580256"/>
        <c:scaling>
          <c:orientation val="minMax"/>
          <c:min val="1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t-EE"/>
                  <a:t>Rühma</a:t>
                </a:r>
                <a:r>
                  <a:rPr lang="et-EE" baseline="0"/>
                  <a:t> täitumus</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328638975"/>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t-EE"/>
              <a:t>Lasteaia</a:t>
            </a:r>
            <a:r>
              <a:rPr lang="et-EE" baseline="0"/>
              <a:t> kohatasu katteallikad eurot lapse kohta kuus 2025</a:t>
            </a:r>
            <a:endParaRPr lang="et-E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t-EE"/>
        </a:p>
      </c:txPr>
    </c:title>
    <c:autoTitleDeleted val="0"/>
    <c:plotArea>
      <c:layout/>
      <c:barChart>
        <c:barDir val="col"/>
        <c:grouping val="stacked"/>
        <c:varyColors val="0"/>
        <c:ser>
          <c:idx val="3"/>
          <c:order val="0"/>
          <c:tx>
            <c:strRef>
              <c:f>Alusharidus!$BL$3</c:f>
              <c:strCache>
                <c:ptCount val="1"/>
                <c:pt idx="0">
                  <c:v>KOV</c:v>
                </c:pt>
              </c:strCache>
            </c:strRef>
          </c:tx>
          <c:spPr>
            <a:solidFill>
              <a:schemeClr val="accent4"/>
            </a:solidFill>
            <a:ln>
              <a:noFill/>
            </a:ln>
            <a:effectLst/>
          </c:spPr>
          <c:invertIfNegative val="0"/>
          <c:cat>
            <c:strRef>
              <c:f>Alusharidus!$A$4:$A$82</c:f>
              <c:strCache>
                <c:ptCount val="79"/>
                <c:pt idx="0">
                  <c:v>Tallinna linn</c:v>
                </c:pt>
                <c:pt idx="1">
                  <c:v>Anija vald</c:v>
                </c:pt>
                <c:pt idx="2">
                  <c:v>Harku vald</c:v>
                </c:pt>
                <c:pt idx="3">
                  <c:v>Jõelähtme vald</c:v>
                </c:pt>
                <c:pt idx="4">
                  <c:v>Keila linn</c:v>
                </c:pt>
                <c:pt idx="5">
                  <c:v>Kiili vald</c:v>
                </c:pt>
                <c:pt idx="6">
                  <c:v>Kose vald</c:v>
                </c:pt>
                <c:pt idx="7">
                  <c:v>Kuusalu vald</c:v>
                </c:pt>
                <c:pt idx="8">
                  <c:v>Loksa linn</c:v>
                </c:pt>
                <c:pt idx="9">
                  <c:v>Maardu linn</c:v>
                </c:pt>
                <c:pt idx="10">
                  <c:v>Raasiku vald</c:v>
                </c:pt>
                <c:pt idx="11">
                  <c:v>Rae vald</c:v>
                </c:pt>
                <c:pt idx="12">
                  <c:v>Saku vald</c:v>
                </c:pt>
                <c:pt idx="13">
                  <c:v>Saue vald</c:v>
                </c:pt>
                <c:pt idx="14">
                  <c:v>Viimsi vald</c:v>
                </c:pt>
                <c:pt idx="15">
                  <c:v>Lääne-Harju vald</c:v>
                </c:pt>
                <c:pt idx="16">
                  <c:v>Hiiumaa vald</c:v>
                </c:pt>
                <c:pt idx="17">
                  <c:v>Jõhvi vald</c:v>
                </c:pt>
                <c:pt idx="18">
                  <c:v>Kohtla-Järve linn</c:v>
                </c:pt>
                <c:pt idx="19">
                  <c:v>Lüganuse vald</c:v>
                </c:pt>
                <c:pt idx="20">
                  <c:v>Narva linn</c:v>
                </c:pt>
                <c:pt idx="21">
                  <c:v>Narva-Jõesuu linn</c:v>
                </c:pt>
                <c:pt idx="22">
                  <c:v>Sillamäe linn</c:v>
                </c:pt>
                <c:pt idx="23">
                  <c:v>Toila vald</c:v>
                </c:pt>
                <c:pt idx="24">
                  <c:v>Alutaguse vald</c:v>
                </c:pt>
                <c:pt idx="25">
                  <c:v>Paide linn</c:v>
                </c:pt>
                <c:pt idx="26">
                  <c:v>Türi vald</c:v>
                </c:pt>
                <c:pt idx="27">
                  <c:v>Järva vald</c:v>
                </c:pt>
                <c:pt idx="28">
                  <c:v>Jõgeva vald</c:v>
                </c:pt>
                <c:pt idx="29">
                  <c:v>Põltsamaa vald</c:v>
                </c:pt>
                <c:pt idx="30">
                  <c:v>Mustvee vald</c:v>
                </c:pt>
                <c:pt idx="31">
                  <c:v>Haapsalu linn</c:v>
                </c:pt>
                <c:pt idx="32">
                  <c:v>Vormsi vald</c:v>
                </c:pt>
                <c:pt idx="33">
                  <c:v>Lääne-Nigula vald</c:v>
                </c:pt>
                <c:pt idx="34">
                  <c:v>Haljala vald</c:v>
                </c:pt>
                <c:pt idx="35">
                  <c:v>Kadrina vald</c:v>
                </c:pt>
                <c:pt idx="36">
                  <c:v>Rakvere linn</c:v>
                </c:pt>
                <c:pt idx="37">
                  <c:v>Rakvere vald</c:v>
                </c:pt>
                <c:pt idx="38">
                  <c:v>Tapa vald</c:v>
                </c:pt>
                <c:pt idx="39">
                  <c:v>Vinni vald</c:v>
                </c:pt>
                <c:pt idx="40">
                  <c:v>Viru-Nigula vald</c:v>
                </c:pt>
                <c:pt idx="41">
                  <c:v>Väike-Maarja vald</c:v>
                </c:pt>
                <c:pt idx="42">
                  <c:v>Häädemeeste vald</c:v>
                </c:pt>
                <c:pt idx="43">
                  <c:v>Kihnu vald</c:v>
                </c:pt>
                <c:pt idx="44">
                  <c:v>Saarde vald</c:v>
                </c:pt>
                <c:pt idx="45">
                  <c:v>Pärnu linn</c:v>
                </c:pt>
                <c:pt idx="46">
                  <c:v>Tori vald</c:v>
                </c:pt>
                <c:pt idx="47">
                  <c:v>Põhja-Pärnumaa vald</c:v>
                </c:pt>
                <c:pt idx="48">
                  <c:v>Lääneranna vald</c:v>
                </c:pt>
                <c:pt idx="49">
                  <c:v>Kanepi vald</c:v>
                </c:pt>
                <c:pt idx="50">
                  <c:v>Põlva vald</c:v>
                </c:pt>
                <c:pt idx="51">
                  <c:v>Räpina vald</c:v>
                </c:pt>
                <c:pt idx="52">
                  <c:v>Kehtna vald</c:v>
                </c:pt>
                <c:pt idx="53">
                  <c:v>Kohila vald</c:v>
                </c:pt>
                <c:pt idx="54">
                  <c:v>Märjamaa vald</c:v>
                </c:pt>
                <c:pt idx="55">
                  <c:v>Rapla vald</c:v>
                </c:pt>
                <c:pt idx="56">
                  <c:v>Muhu vald</c:v>
                </c:pt>
                <c:pt idx="57">
                  <c:v>Ruhnu vald</c:v>
                </c:pt>
                <c:pt idx="58">
                  <c:v>Saaremaa vald</c:v>
                </c:pt>
                <c:pt idx="59">
                  <c:v>Kambja vald</c:v>
                </c:pt>
                <c:pt idx="60">
                  <c:v>Luunja vald</c:v>
                </c:pt>
                <c:pt idx="61">
                  <c:v>Nõo vald</c:v>
                </c:pt>
                <c:pt idx="62">
                  <c:v>Peipsiääre vald</c:v>
                </c:pt>
                <c:pt idx="63">
                  <c:v>Tartu linn</c:v>
                </c:pt>
                <c:pt idx="64">
                  <c:v>Tartu vald</c:v>
                </c:pt>
                <c:pt idx="65">
                  <c:v>Elva vald</c:v>
                </c:pt>
                <c:pt idx="66">
                  <c:v>Kastre vald</c:v>
                </c:pt>
                <c:pt idx="67">
                  <c:v>Mulgi vald</c:v>
                </c:pt>
                <c:pt idx="68">
                  <c:v>Viljandi linn</c:v>
                </c:pt>
                <c:pt idx="69">
                  <c:v>Viljandi vald</c:v>
                </c:pt>
                <c:pt idx="70">
                  <c:v>Põhja-Sakala vald</c:v>
                </c:pt>
                <c:pt idx="71">
                  <c:v>Otepää vald</c:v>
                </c:pt>
                <c:pt idx="72">
                  <c:v>Valga vald</c:v>
                </c:pt>
                <c:pt idx="73">
                  <c:v>Tõrva vald</c:v>
                </c:pt>
                <c:pt idx="74">
                  <c:v>Antsla vald</c:v>
                </c:pt>
                <c:pt idx="75">
                  <c:v>Rõuge vald</c:v>
                </c:pt>
                <c:pt idx="76">
                  <c:v>Võru linn</c:v>
                </c:pt>
                <c:pt idx="77">
                  <c:v>Võru vald</c:v>
                </c:pt>
                <c:pt idx="78">
                  <c:v>Setomaa vald</c:v>
                </c:pt>
              </c:strCache>
            </c:strRef>
          </c:cat>
          <c:val>
            <c:numRef>
              <c:f>Alusharidus!$BL$4:$BL$82</c:f>
              <c:numCache>
                <c:formatCode>#,##0</c:formatCode>
                <c:ptCount val="79"/>
                <c:pt idx="0">
                  <c:v>592.36225360715241</c:v>
                </c:pt>
                <c:pt idx="1">
                  <c:v>563.4093858041382</c:v>
                </c:pt>
                <c:pt idx="2">
                  <c:v>638.0235831304758</c:v>
                </c:pt>
                <c:pt idx="3">
                  <c:v>684.77758677991108</c:v>
                </c:pt>
                <c:pt idx="4">
                  <c:v>553.78201790633614</c:v>
                </c:pt>
                <c:pt idx="5">
                  <c:v>660.589351247031</c:v>
                </c:pt>
                <c:pt idx="6">
                  <c:v>464.42753508771943</c:v>
                </c:pt>
                <c:pt idx="7">
                  <c:v>525.62400178082737</c:v>
                </c:pt>
                <c:pt idx="8">
                  <c:v>388.69367469879518</c:v>
                </c:pt>
                <c:pt idx="9">
                  <c:v>492.37540055951177</c:v>
                </c:pt>
                <c:pt idx="10">
                  <c:v>458.40319274475524</c:v>
                </c:pt>
                <c:pt idx="11">
                  <c:v>553.78332275767445</c:v>
                </c:pt>
                <c:pt idx="12">
                  <c:v>481.88853927813187</c:v>
                </c:pt>
                <c:pt idx="13">
                  <c:v>532.00169119129202</c:v>
                </c:pt>
                <c:pt idx="14">
                  <c:v>571.01171494440212</c:v>
                </c:pt>
                <c:pt idx="15">
                  <c:v>602.26949772267233</c:v>
                </c:pt>
                <c:pt idx="16">
                  <c:v>589.21861895161294</c:v>
                </c:pt>
                <c:pt idx="17">
                  <c:v>450.41360357142867</c:v>
                </c:pt>
                <c:pt idx="18">
                  <c:v>566.42562969924813</c:v>
                </c:pt>
                <c:pt idx="19">
                  <c:v>715.64692976804133</c:v>
                </c:pt>
                <c:pt idx="20">
                  <c:v>473.40165327676476</c:v>
                </c:pt>
                <c:pt idx="21">
                  <c:v>520.58383986928106</c:v>
                </c:pt>
                <c:pt idx="22">
                  <c:v>462.33894832275615</c:v>
                </c:pt>
                <c:pt idx="23">
                  <c:v>529.1273877805487</c:v>
                </c:pt>
                <c:pt idx="24">
                  <c:v>606.2990160726074</c:v>
                </c:pt>
                <c:pt idx="25">
                  <c:v>501.51007753273626</c:v>
                </c:pt>
                <c:pt idx="26">
                  <c:v>465.51728712534072</c:v>
                </c:pt>
                <c:pt idx="27">
                  <c:v>492.535643807697</c:v>
                </c:pt>
                <c:pt idx="28">
                  <c:v>583.92496402615109</c:v>
                </c:pt>
                <c:pt idx="29">
                  <c:v>508.31731950515928</c:v>
                </c:pt>
                <c:pt idx="30">
                  <c:v>513.16450218818397</c:v>
                </c:pt>
                <c:pt idx="31">
                  <c:v>442.32780135823424</c:v>
                </c:pt>
                <c:pt idx="32">
                  <c:v>1340.5330453082192</c:v>
                </c:pt>
                <c:pt idx="33">
                  <c:v>489.27119163424135</c:v>
                </c:pt>
                <c:pt idx="34">
                  <c:v>590.2053173241851</c:v>
                </c:pt>
                <c:pt idx="35">
                  <c:v>599.38101443636117</c:v>
                </c:pt>
                <c:pt idx="36">
                  <c:v>428.03554039593382</c:v>
                </c:pt>
                <c:pt idx="37">
                  <c:v>602.98116157556274</c:v>
                </c:pt>
                <c:pt idx="38">
                  <c:v>538.99011860932853</c:v>
                </c:pt>
                <c:pt idx="39">
                  <c:v>511.32207240935162</c:v>
                </c:pt>
                <c:pt idx="40">
                  <c:v>414.82386618589743</c:v>
                </c:pt>
                <c:pt idx="41">
                  <c:v>496.39007805659566</c:v>
                </c:pt>
                <c:pt idx="42">
                  <c:v>633.48497810858134</c:v>
                </c:pt>
                <c:pt idx="43">
                  <c:v>401.4753409090909</c:v>
                </c:pt>
                <c:pt idx="44">
                  <c:v>422.67687142857159</c:v>
                </c:pt>
                <c:pt idx="45">
                  <c:v>456.57515803636016</c:v>
                </c:pt>
                <c:pt idx="46">
                  <c:v>490.57965801147196</c:v>
                </c:pt>
                <c:pt idx="47">
                  <c:v>588.15772472556239</c:v>
                </c:pt>
                <c:pt idx="48">
                  <c:v>474.76073792486591</c:v>
                </c:pt>
                <c:pt idx="49">
                  <c:v>590.89701260504216</c:v>
                </c:pt>
                <c:pt idx="50">
                  <c:v>553.8952244487399</c:v>
                </c:pt>
                <c:pt idx="51">
                  <c:v>510.3173431595805</c:v>
                </c:pt>
                <c:pt idx="52">
                  <c:v>445.07614655172415</c:v>
                </c:pt>
                <c:pt idx="53">
                  <c:v>599.7239474678762</c:v>
                </c:pt>
                <c:pt idx="54">
                  <c:v>466.67366456960798</c:v>
                </c:pt>
                <c:pt idx="55">
                  <c:v>551.93865094339628</c:v>
                </c:pt>
                <c:pt idx="56">
                  <c:v>844.40083333333325</c:v>
                </c:pt>
                <c:pt idx="58">
                  <c:v>494.09587210151199</c:v>
                </c:pt>
                <c:pt idx="59">
                  <c:v>637.39765488890339</c:v>
                </c:pt>
                <c:pt idx="60">
                  <c:v>585.01735176282057</c:v>
                </c:pt>
                <c:pt idx="61">
                  <c:v>633.63825192096567</c:v>
                </c:pt>
                <c:pt idx="62">
                  <c:v>493.52941835040377</c:v>
                </c:pt>
                <c:pt idx="63">
                  <c:v>535.38262548751982</c:v>
                </c:pt>
                <c:pt idx="64">
                  <c:v>530.03245973514697</c:v>
                </c:pt>
                <c:pt idx="65">
                  <c:v>559.95751251564468</c:v>
                </c:pt>
                <c:pt idx="66">
                  <c:v>578.81898939695168</c:v>
                </c:pt>
                <c:pt idx="67">
                  <c:v>473.46508819951327</c:v>
                </c:pt>
                <c:pt idx="68">
                  <c:v>505.88159896033881</c:v>
                </c:pt>
                <c:pt idx="69">
                  <c:v>561.15200587334004</c:v>
                </c:pt>
                <c:pt idx="70">
                  <c:v>530.11789898523978</c:v>
                </c:pt>
                <c:pt idx="71">
                  <c:v>414.02197166469887</c:v>
                </c:pt>
                <c:pt idx="72">
                  <c:v>473.68098484848468</c:v>
                </c:pt>
                <c:pt idx="73">
                  <c:v>537.80142509135214</c:v>
                </c:pt>
                <c:pt idx="74">
                  <c:v>471.09134231536945</c:v>
                </c:pt>
                <c:pt idx="75">
                  <c:v>455.9271626106194</c:v>
                </c:pt>
                <c:pt idx="76">
                  <c:v>454.39645266990311</c:v>
                </c:pt>
                <c:pt idx="77">
                  <c:v>524.37291217211794</c:v>
                </c:pt>
                <c:pt idx="78">
                  <c:v>561.19427392739283</c:v>
                </c:pt>
              </c:numCache>
            </c:numRef>
          </c:val>
          <c:extLst>
            <c:ext xmlns:c16="http://schemas.microsoft.com/office/drawing/2014/chart" uri="{C3380CC4-5D6E-409C-BE32-E72D297353CC}">
              <c16:uniqueId val="{00000003-AE02-422C-8E27-2CD8C4E3A3D3}"/>
            </c:ext>
          </c:extLst>
        </c:ser>
        <c:ser>
          <c:idx val="0"/>
          <c:order val="1"/>
          <c:tx>
            <c:strRef>
              <c:f>Alusharidus!$BM$3</c:f>
              <c:strCache>
                <c:ptCount val="1"/>
                <c:pt idx="0">
                  <c:v>Lapsevanemad</c:v>
                </c:pt>
              </c:strCache>
            </c:strRef>
          </c:tx>
          <c:spPr>
            <a:solidFill>
              <a:schemeClr val="accent1"/>
            </a:solidFill>
            <a:ln>
              <a:noFill/>
            </a:ln>
            <a:effectLst/>
          </c:spPr>
          <c:invertIfNegative val="0"/>
          <c:cat>
            <c:strRef>
              <c:f>Alusharidus!$A$4:$A$82</c:f>
              <c:strCache>
                <c:ptCount val="79"/>
                <c:pt idx="0">
                  <c:v>Tallinna linn</c:v>
                </c:pt>
                <c:pt idx="1">
                  <c:v>Anija vald</c:v>
                </c:pt>
                <c:pt idx="2">
                  <c:v>Harku vald</c:v>
                </c:pt>
                <c:pt idx="3">
                  <c:v>Jõelähtme vald</c:v>
                </c:pt>
                <c:pt idx="4">
                  <c:v>Keila linn</c:v>
                </c:pt>
                <c:pt idx="5">
                  <c:v>Kiili vald</c:v>
                </c:pt>
                <c:pt idx="6">
                  <c:v>Kose vald</c:v>
                </c:pt>
                <c:pt idx="7">
                  <c:v>Kuusalu vald</c:v>
                </c:pt>
                <c:pt idx="8">
                  <c:v>Loksa linn</c:v>
                </c:pt>
                <c:pt idx="9">
                  <c:v>Maardu linn</c:v>
                </c:pt>
                <c:pt idx="10">
                  <c:v>Raasiku vald</c:v>
                </c:pt>
                <c:pt idx="11">
                  <c:v>Rae vald</c:v>
                </c:pt>
                <c:pt idx="12">
                  <c:v>Saku vald</c:v>
                </c:pt>
                <c:pt idx="13">
                  <c:v>Saue vald</c:v>
                </c:pt>
                <c:pt idx="14">
                  <c:v>Viimsi vald</c:v>
                </c:pt>
                <c:pt idx="15">
                  <c:v>Lääne-Harju vald</c:v>
                </c:pt>
                <c:pt idx="16">
                  <c:v>Hiiumaa vald</c:v>
                </c:pt>
                <c:pt idx="17">
                  <c:v>Jõhvi vald</c:v>
                </c:pt>
                <c:pt idx="18">
                  <c:v>Kohtla-Järve linn</c:v>
                </c:pt>
                <c:pt idx="19">
                  <c:v>Lüganuse vald</c:v>
                </c:pt>
                <c:pt idx="20">
                  <c:v>Narva linn</c:v>
                </c:pt>
                <c:pt idx="21">
                  <c:v>Narva-Jõesuu linn</c:v>
                </c:pt>
                <c:pt idx="22">
                  <c:v>Sillamäe linn</c:v>
                </c:pt>
                <c:pt idx="23">
                  <c:v>Toila vald</c:v>
                </c:pt>
                <c:pt idx="24">
                  <c:v>Alutaguse vald</c:v>
                </c:pt>
                <c:pt idx="25">
                  <c:v>Paide linn</c:v>
                </c:pt>
                <c:pt idx="26">
                  <c:v>Türi vald</c:v>
                </c:pt>
                <c:pt idx="27">
                  <c:v>Järva vald</c:v>
                </c:pt>
                <c:pt idx="28">
                  <c:v>Jõgeva vald</c:v>
                </c:pt>
                <c:pt idx="29">
                  <c:v>Põltsamaa vald</c:v>
                </c:pt>
                <c:pt idx="30">
                  <c:v>Mustvee vald</c:v>
                </c:pt>
                <c:pt idx="31">
                  <c:v>Haapsalu linn</c:v>
                </c:pt>
                <c:pt idx="32">
                  <c:v>Vormsi vald</c:v>
                </c:pt>
                <c:pt idx="33">
                  <c:v>Lääne-Nigula vald</c:v>
                </c:pt>
                <c:pt idx="34">
                  <c:v>Haljala vald</c:v>
                </c:pt>
                <c:pt idx="35">
                  <c:v>Kadrina vald</c:v>
                </c:pt>
                <c:pt idx="36">
                  <c:v>Rakvere linn</c:v>
                </c:pt>
                <c:pt idx="37">
                  <c:v>Rakvere vald</c:v>
                </c:pt>
                <c:pt idx="38">
                  <c:v>Tapa vald</c:v>
                </c:pt>
                <c:pt idx="39">
                  <c:v>Vinni vald</c:v>
                </c:pt>
                <c:pt idx="40">
                  <c:v>Viru-Nigula vald</c:v>
                </c:pt>
                <c:pt idx="41">
                  <c:v>Väike-Maarja vald</c:v>
                </c:pt>
                <c:pt idx="42">
                  <c:v>Häädemeeste vald</c:v>
                </c:pt>
                <c:pt idx="43">
                  <c:v>Kihnu vald</c:v>
                </c:pt>
                <c:pt idx="44">
                  <c:v>Saarde vald</c:v>
                </c:pt>
                <c:pt idx="45">
                  <c:v>Pärnu linn</c:v>
                </c:pt>
                <c:pt idx="46">
                  <c:v>Tori vald</c:v>
                </c:pt>
                <c:pt idx="47">
                  <c:v>Põhja-Pärnumaa vald</c:v>
                </c:pt>
                <c:pt idx="48">
                  <c:v>Lääneranna vald</c:v>
                </c:pt>
                <c:pt idx="49">
                  <c:v>Kanepi vald</c:v>
                </c:pt>
                <c:pt idx="50">
                  <c:v>Põlva vald</c:v>
                </c:pt>
                <c:pt idx="51">
                  <c:v>Räpina vald</c:v>
                </c:pt>
                <c:pt idx="52">
                  <c:v>Kehtna vald</c:v>
                </c:pt>
                <c:pt idx="53">
                  <c:v>Kohila vald</c:v>
                </c:pt>
                <c:pt idx="54">
                  <c:v>Märjamaa vald</c:v>
                </c:pt>
                <c:pt idx="55">
                  <c:v>Rapla vald</c:v>
                </c:pt>
                <c:pt idx="56">
                  <c:v>Muhu vald</c:v>
                </c:pt>
                <c:pt idx="57">
                  <c:v>Ruhnu vald</c:v>
                </c:pt>
                <c:pt idx="58">
                  <c:v>Saaremaa vald</c:v>
                </c:pt>
                <c:pt idx="59">
                  <c:v>Kambja vald</c:v>
                </c:pt>
                <c:pt idx="60">
                  <c:v>Luunja vald</c:v>
                </c:pt>
                <c:pt idx="61">
                  <c:v>Nõo vald</c:v>
                </c:pt>
                <c:pt idx="62">
                  <c:v>Peipsiääre vald</c:v>
                </c:pt>
                <c:pt idx="63">
                  <c:v>Tartu linn</c:v>
                </c:pt>
                <c:pt idx="64">
                  <c:v>Tartu vald</c:v>
                </c:pt>
                <c:pt idx="65">
                  <c:v>Elva vald</c:v>
                </c:pt>
                <c:pt idx="66">
                  <c:v>Kastre vald</c:v>
                </c:pt>
                <c:pt idx="67">
                  <c:v>Mulgi vald</c:v>
                </c:pt>
                <c:pt idx="68">
                  <c:v>Viljandi linn</c:v>
                </c:pt>
                <c:pt idx="69">
                  <c:v>Viljandi vald</c:v>
                </c:pt>
                <c:pt idx="70">
                  <c:v>Põhja-Sakala vald</c:v>
                </c:pt>
                <c:pt idx="71">
                  <c:v>Otepää vald</c:v>
                </c:pt>
                <c:pt idx="72">
                  <c:v>Valga vald</c:v>
                </c:pt>
                <c:pt idx="73">
                  <c:v>Tõrva vald</c:v>
                </c:pt>
                <c:pt idx="74">
                  <c:v>Antsla vald</c:v>
                </c:pt>
                <c:pt idx="75">
                  <c:v>Rõuge vald</c:v>
                </c:pt>
                <c:pt idx="76">
                  <c:v>Võru linn</c:v>
                </c:pt>
                <c:pt idx="77">
                  <c:v>Võru vald</c:v>
                </c:pt>
                <c:pt idx="78">
                  <c:v>Setomaa vald</c:v>
                </c:pt>
              </c:strCache>
            </c:strRef>
          </c:cat>
          <c:val>
            <c:numRef>
              <c:f>Alusharidus!$BM$4:$BM$82</c:f>
              <c:numCache>
                <c:formatCode>0</c:formatCode>
                <c:ptCount val="79"/>
                <c:pt idx="0">
                  <c:v>51.442783305302292</c:v>
                </c:pt>
                <c:pt idx="1">
                  <c:v>82.373322050290142</c:v>
                </c:pt>
                <c:pt idx="2">
                  <c:v>94.527112367021289</c:v>
                </c:pt>
                <c:pt idx="3">
                  <c:v>34.926063515509597</c:v>
                </c:pt>
                <c:pt idx="4">
                  <c:v>97.287620523415981</c:v>
                </c:pt>
                <c:pt idx="5">
                  <c:v>136.94798146493017</c:v>
                </c:pt>
                <c:pt idx="6">
                  <c:v>89.331033625730996</c:v>
                </c:pt>
                <c:pt idx="7">
                  <c:v>47.488140476190473</c:v>
                </c:pt>
                <c:pt idx="8">
                  <c:v>67.611014056224903</c:v>
                </c:pt>
                <c:pt idx="9">
                  <c:v>82.575841810783317</c:v>
                </c:pt>
                <c:pt idx="10">
                  <c:v>95.687648601398578</c:v>
                </c:pt>
                <c:pt idx="11">
                  <c:v>131.29947350368721</c:v>
                </c:pt>
                <c:pt idx="12">
                  <c:v>103.74696709129512</c:v>
                </c:pt>
                <c:pt idx="13">
                  <c:v>84.343984781895102</c:v>
                </c:pt>
                <c:pt idx="14">
                  <c:v>96.32298637316562</c:v>
                </c:pt>
                <c:pt idx="15">
                  <c:v>92.452167257085023</c:v>
                </c:pt>
                <c:pt idx="16">
                  <c:v>47.276940524193549</c:v>
                </c:pt>
                <c:pt idx="17">
                  <c:v>60.360675000000008</c:v>
                </c:pt>
                <c:pt idx="18">
                  <c:v>63.826668233082707</c:v>
                </c:pt>
                <c:pt idx="19">
                  <c:v>19.086855670103095</c:v>
                </c:pt>
                <c:pt idx="20">
                  <c:v>69.052333002346984</c:v>
                </c:pt>
                <c:pt idx="21">
                  <c:v>72.213218954248376</c:v>
                </c:pt>
                <c:pt idx="22">
                  <c:v>67.229075249320033</c:v>
                </c:pt>
                <c:pt idx="23">
                  <c:v>74.27559226932668</c:v>
                </c:pt>
                <c:pt idx="24">
                  <c:v>42.563099999999999</c:v>
                </c:pt>
                <c:pt idx="25">
                  <c:v>88.622725706409369</c:v>
                </c:pt>
                <c:pt idx="26">
                  <c:v>63.966592302452312</c:v>
                </c:pt>
                <c:pt idx="27">
                  <c:v>63.71720786516854</c:v>
                </c:pt>
                <c:pt idx="28">
                  <c:v>53.443686816050025</c:v>
                </c:pt>
                <c:pt idx="29">
                  <c:v>55.439481268011527</c:v>
                </c:pt>
                <c:pt idx="30">
                  <c:v>59.59009299781183</c:v>
                </c:pt>
                <c:pt idx="31">
                  <c:v>71.728235710243339</c:v>
                </c:pt>
                <c:pt idx="32">
                  <c:v>24.010468750000001</c:v>
                </c:pt>
                <c:pt idx="33">
                  <c:v>54.586585603112837</c:v>
                </c:pt>
                <c:pt idx="34">
                  <c:v>73.225986277873062</c:v>
                </c:pt>
                <c:pt idx="35">
                  <c:v>51.318467523680653</c:v>
                </c:pt>
                <c:pt idx="36">
                  <c:v>89.070299627309453</c:v>
                </c:pt>
                <c:pt idx="37">
                  <c:v>53.135048231511263</c:v>
                </c:pt>
                <c:pt idx="38">
                  <c:v>36.246104166666662</c:v>
                </c:pt>
                <c:pt idx="39">
                  <c:v>37.617570183930297</c:v>
                </c:pt>
                <c:pt idx="40">
                  <c:v>59.883253205128206</c:v>
                </c:pt>
                <c:pt idx="41">
                  <c:v>57.931982120838477</c:v>
                </c:pt>
                <c:pt idx="42">
                  <c:v>68.695809982486864</c:v>
                </c:pt>
                <c:pt idx="43">
                  <c:v>22.656420454545454</c:v>
                </c:pt>
                <c:pt idx="44">
                  <c:v>59.624433333333336</c:v>
                </c:pt>
                <c:pt idx="45">
                  <c:v>96.627291615137267</c:v>
                </c:pt>
                <c:pt idx="46">
                  <c:v>74.595811817279056</c:v>
                </c:pt>
                <c:pt idx="47">
                  <c:v>72.140120456466619</c:v>
                </c:pt>
                <c:pt idx="48">
                  <c:v>51.664704830053672</c:v>
                </c:pt>
                <c:pt idx="49">
                  <c:v>26.753739495798325</c:v>
                </c:pt>
                <c:pt idx="50">
                  <c:v>60.710559133489461</c:v>
                </c:pt>
                <c:pt idx="51">
                  <c:v>40.210838658146962</c:v>
                </c:pt>
                <c:pt idx="52">
                  <c:v>75.531833333333338</c:v>
                </c:pt>
                <c:pt idx="53">
                  <c:v>87.360988284202577</c:v>
                </c:pt>
                <c:pt idx="54">
                  <c:v>93.51429255319151</c:v>
                </c:pt>
                <c:pt idx="55">
                  <c:v>98.015140330188686</c:v>
                </c:pt>
                <c:pt idx="56">
                  <c:v>35.921805555555558</c:v>
                </c:pt>
                <c:pt idx="58">
                  <c:v>48.19755555555556</c:v>
                </c:pt>
                <c:pt idx="59">
                  <c:v>87.937753267973861</c:v>
                </c:pt>
                <c:pt idx="60">
                  <c:v>98.266758814102559</c:v>
                </c:pt>
                <c:pt idx="61">
                  <c:v>83.054753018660804</c:v>
                </c:pt>
                <c:pt idx="62">
                  <c:v>70.111515667574935</c:v>
                </c:pt>
                <c:pt idx="63">
                  <c:v>99.795562467599794</c:v>
                </c:pt>
                <c:pt idx="64">
                  <c:v>91.392012347888354</c:v>
                </c:pt>
                <c:pt idx="65">
                  <c:v>80.105715477680434</c:v>
                </c:pt>
                <c:pt idx="66">
                  <c:v>78.590666003976153</c:v>
                </c:pt>
                <c:pt idx="67">
                  <c:v>53.126587591240877</c:v>
                </c:pt>
                <c:pt idx="68">
                  <c:v>93.089283788987288</c:v>
                </c:pt>
                <c:pt idx="69">
                  <c:v>45.950076608784464</c:v>
                </c:pt>
                <c:pt idx="70">
                  <c:v>68.471263837638375</c:v>
                </c:pt>
                <c:pt idx="71">
                  <c:v>76.012337662337657</c:v>
                </c:pt>
                <c:pt idx="72">
                  <c:v>54.378205585264404</c:v>
                </c:pt>
                <c:pt idx="73">
                  <c:v>17.253197320341048</c:v>
                </c:pt>
                <c:pt idx="74">
                  <c:v>60.145009980039923</c:v>
                </c:pt>
                <c:pt idx="75">
                  <c:v>71.939225663716812</c:v>
                </c:pt>
                <c:pt idx="76">
                  <c:v>60.232543689320401</c:v>
                </c:pt>
                <c:pt idx="77">
                  <c:v>38.169225571725569</c:v>
                </c:pt>
                <c:pt idx="78">
                  <c:v>40.414306930693066</c:v>
                </c:pt>
              </c:numCache>
            </c:numRef>
          </c:val>
          <c:extLst>
            <c:ext xmlns:c16="http://schemas.microsoft.com/office/drawing/2014/chart" uri="{C3380CC4-5D6E-409C-BE32-E72D297353CC}">
              <c16:uniqueId val="{00000000-AE02-422C-8E27-2CD8C4E3A3D3}"/>
            </c:ext>
          </c:extLst>
        </c:ser>
        <c:ser>
          <c:idx val="1"/>
          <c:order val="2"/>
          <c:tx>
            <c:strRef>
              <c:f>Alusharidus!$BN$3</c:f>
              <c:strCache>
                <c:ptCount val="1"/>
                <c:pt idx="0">
                  <c:v>Teised KOV-id</c:v>
                </c:pt>
              </c:strCache>
            </c:strRef>
          </c:tx>
          <c:spPr>
            <a:solidFill>
              <a:schemeClr val="accent2"/>
            </a:solidFill>
            <a:ln>
              <a:noFill/>
            </a:ln>
            <a:effectLst/>
          </c:spPr>
          <c:invertIfNegative val="0"/>
          <c:cat>
            <c:strRef>
              <c:f>Alusharidus!$A$4:$A$82</c:f>
              <c:strCache>
                <c:ptCount val="79"/>
                <c:pt idx="0">
                  <c:v>Tallinna linn</c:v>
                </c:pt>
                <c:pt idx="1">
                  <c:v>Anija vald</c:v>
                </c:pt>
                <c:pt idx="2">
                  <c:v>Harku vald</c:v>
                </c:pt>
                <c:pt idx="3">
                  <c:v>Jõelähtme vald</c:v>
                </c:pt>
                <c:pt idx="4">
                  <c:v>Keila linn</c:v>
                </c:pt>
                <c:pt idx="5">
                  <c:v>Kiili vald</c:v>
                </c:pt>
                <c:pt idx="6">
                  <c:v>Kose vald</c:v>
                </c:pt>
                <c:pt idx="7">
                  <c:v>Kuusalu vald</c:v>
                </c:pt>
                <c:pt idx="8">
                  <c:v>Loksa linn</c:v>
                </c:pt>
                <c:pt idx="9">
                  <c:v>Maardu linn</c:v>
                </c:pt>
                <c:pt idx="10">
                  <c:v>Raasiku vald</c:v>
                </c:pt>
                <c:pt idx="11">
                  <c:v>Rae vald</c:v>
                </c:pt>
                <c:pt idx="12">
                  <c:v>Saku vald</c:v>
                </c:pt>
                <c:pt idx="13">
                  <c:v>Saue vald</c:v>
                </c:pt>
                <c:pt idx="14">
                  <c:v>Viimsi vald</c:v>
                </c:pt>
                <c:pt idx="15">
                  <c:v>Lääne-Harju vald</c:v>
                </c:pt>
                <c:pt idx="16">
                  <c:v>Hiiumaa vald</c:v>
                </c:pt>
                <c:pt idx="17">
                  <c:v>Jõhvi vald</c:v>
                </c:pt>
                <c:pt idx="18">
                  <c:v>Kohtla-Järve linn</c:v>
                </c:pt>
                <c:pt idx="19">
                  <c:v>Lüganuse vald</c:v>
                </c:pt>
                <c:pt idx="20">
                  <c:v>Narva linn</c:v>
                </c:pt>
                <c:pt idx="21">
                  <c:v>Narva-Jõesuu linn</c:v>
                </c:pt>
                <c:pt idx="22">
                  <c:v>Sillamäe linn</c:v>
                </c:pt>
                <c:pt idx="23">
                  <c:v>Toila vald</c:v>
                </c:pt>
                <c:pt idx="24">
                  <c:v>Alutaguse vald</c:v>
                </c:pt>
                <c:pt idx="25">
                  <c:v>Paide linn</c:v>
                </c:pt>
                <c:pt idx="26">
                  <c:v>Türi vald</c:v>
                </c:pt>
                <c:pt idx="27">
                  <c:v>Järva vald</c:v>
                </c:pt>
                <c:pt idx="28">
                  <c:v>Jõgeva vald</c:v>
                </c:pt>
                <c:pt idx="29">
                  <c:v>Põltsamaa vald</c:v>
                </c:pt>
                <c:pt idx="30">
                  <c:v>Mustvee vald</c:v>
                </c:pt>
                <c:pt idx="31">
                  <c:v>Haapsalu linn</c:v>
                </c:pt>
                <c:pt idx="32">
                  <c:v>Vormsi vald</c:v>
                </c:pt>
                <c:pt idx="33">
                  <c:v>Lääne-Nigula vald</c:v>
                </c:pt>
                <c:pt idx="34">
                  <c:v>Haljala vald</c:v>
                </c:pt>
                <c:pt idx="35">
                  <c:v>Kadrina vald</c:v>
                </c:pt>
                <c:pt idx="36">
                  <c:v>Rakvere linn</c:v>
                </c:pt>
                <c:pt idx="37">
                  <c:v>Rakvere vald</c:v>
                </c:pt>
                <c:pt idx="38">
                  <c:v>Tapa vald</c:v>
                </c:pt>
                <c:pt idx="39">
                  <c:v>Vinni vald</c:v>
                </c:pt>
                <c:pt idx="40">
                  <c:v>Viru-Nigula vald</c:v>
                </c:pt>
                <c:pt idx="41">
                  <c:v>Väike-Maarja vald</c:v>
                </c:pt>
                <c:pt idx="42">
                  <c:v>Häädemeeste vald</c:v>
                </c:pt>
                <c:pt idx="43">
                  <c:v>Kihnu vald</c:v>
                </c:pt>
                <c:pt idx="44">
                  <c:v>Saarde vald</c:v>
                </c:pt>
                <c:pt idx="45">
                  <c:v>Pärnu linn</c:v>
                </c:pt>
                <c:pt idx="46">
                  <c:v>Tori vald</c:v>
                </c:pt>
                <c:pt idx="47">
                  <c:v>Põhja-Pärnumaa vald</c:v>
                </c:pt>
                <c:pt idx="48">
                  <c:v>Lääneranna vald</c:v>
                </c:pt>
                <c:pt idx="49">
                  <c:v>Kanepi vald</c:v>
                </c:pt>
                <c:pt idx="50">
                  <c:v>Põlva vald</c:v>
                </c:pt>
                <c:pt idx="51">
                  <c:v>Räpina vald</c:v>
                </c:pt>
                <c:pt idx="52">
                  <c:v>Kehtna vald</c:v>
                </c:pt>
                <c:pt idx="53">
                  <c:v>Kohila vald</c:v>
                </c:pt>
                <c:pt idx="54">
                  <c:v>Märjamaa vald</c:v>
                </c:pt>
                <c:pt idx="55">
                  <c:v>Rapla vald</c:v>
                </c:pt>
                <c:pt idx="56">
                  <c:v>Muhu vald</c:v>
                </c:pt>
                <c:pt idx="57">
                  <c:v>Ruhnu vald</c:v>
                </c:pt>
                <c:pt idx="58">
                  <c:v>Saaremaa vald</c:v>
                </c:pt>
                <c:pt idx="59">
                  <c:v>Kambja vald</c:v>
                </c:pt>
                <c:pt idx="60">
                  <c:v>Luunja vald</c:v>
                </c:pt>
                <c:pt idx="61">
                  <c:v>Nõo vald</c:v>
                </c:pt>
                <c:pt idx="62">
                  <c:v>Peipsiääre vald</c:v>
                </c:pt>
                <c:pt idx="63">
                  <c:v>Tartu linn</c:v>
                </c:pt>
                <c:pt idx="64">
                  <c:v>Tartu vald</c:v>
                </c:pt>
                <c:pt idx="65">
                  <c:v>Elva vald</c:v>
                </c:pt>
                <c:pt idx="66">
                  <c:v>Kastre vald</c:v>
                </c:pt>
                <c:pt idx="67">
                  <c:v>Mulgi vald</c:v>
                </c:pt>
                <c:pt idx="68">
                  <c:v>Viljandi linn</c:v>
                </c:pt>
                <c:pt idx="69">
                  <c:v>Viljandi vald</c:v>
                </c:pt>
                <c:pt idx="70">
                  <c:v>Põhja-Sakala vald</c:v>
                </c:pt>
                <c:pt idx="71">
                  <c:v>Otepää vald</c:v>
                </c:pt>
                <c:pt idx="72">
                  <c:v>Valga vald</c:v>
                </c:pt>
                <c:pt idx="73">
                  <c:v>Tõrva vald</c:v>
                </c:pt>
                <c:pt idx="74">
                  <c:v>Antsla vald</c:v>
                </c:pt>
                <c:pt idx="75">
                  <c:v>Rõuge vald</c:v>
                </c:pt>
                <c:pt idx="76">
                  <c:v>Võru linn</c:v>
                </c:pt>
                <c:pt idx="77">
                  <c:v>Võru vald</c:v>
                </c:pt>
                <c:pt idx="78">
                  <c:v>Setomaa vald</c:v>
                </c:pt>
              </c:strCache>
            </c:strRef>
          </c:cat>
          <c:val>
            <c:numRef>
              <c:f>Alusharidus!$BN$4:$BN$82</c:f>
              <c:numCache>
                <c:formatCode>0</c:formatCode>
                <c:ptCount val="79"/>
                <c:pt idx="0">
                  <c:v>6.751990528458883</c:v>
                </c:pt>
                <c:pt idx="1">
                  <c:v>34.178675048355906</c:v>
                </c:pt>
                <c:pt idx="2">
                  <c:v>10.988456117021277</c:v>
                </c:pt>
                <c:pt idx="3">
                  <c:v>5.3606314623338251</c:v>
                </c:pt>
                <c:pt idx="4">
                  <c:v>8.5254820936639124</c:v>
                </c:pt>
                <c:pt idx="5">
                  <c:v>6.7312945368171029</c:v>
                </c:pt>
                <c:pt idx="6">
                  <c:v>2.9133040935672514</c:v>
                </c:pt>
                <c:pt idx="7">
                  <c:v>11.715007142857141</c:v>
                </c:pt>
                <c:pt idx="8">
                  <c:v>206.97791164658634</c:v>
                </c:pt>
                <c:pt idx="9">
                  <c:v>50.607531790437434</c:v>
                </c:pt>
                <c:pt idx="10">
                  <c:v>4.8059659090909088</c:v>
                </c:pt>
                <c:pt idx="11">
                  <c:v>8.9730835191219356</c:v>
                </c:pt>
                <c:pt idx="12">
                  <c:v>8.0452813163481967</c:v>
                </c:pt>
                <c:pt idx="13">
                  <c:v>13.436763253376336</c:v>
                </c:pt>
                <c:pt idx="14">
                  <c:v>5.35859538784067</c:v>
                </c:pt>
                <c:pt idx="15">
                  <c:v>15.908369180161943</c:v>
                </c:pt>
                <c:pt idx="16">
                  <c:v>9.5614919354838701</c:v>
                </c:pt>
                <c:pt idx="17">
                  <c:v>23.902848214285715</c:v>
                </c:pt>
                <c:pt idx="18">
                  <c:v>64.38831140350878</c:v>
                </c:pt>
                <c:pt idx="19">
                  <c:v>17.326997422680414</c:v>
                </c:pt>
                <c:pt idx="20">
                  <c:v>23.941927694529696</c:v>
                </c:pt>
                <c:pt idx="21">
                  <c:v>224.23701797385618</c:v>
                </c:pt>
                <c:pt idx="22">
                  <c:v>62.740480507706252</c:v>
                </c:pt>
                <c:pt idx="23">
                  <c:v>167.82668329177054</c:v>
                </c:pt>
                <c:pt idx="24">
                  <c:v>64.680000000000007</c:v>
                </c:pt>
                <c:pt idx="25">
                  <c:v>6.4558132322536181</c:v>
                </c:pt>
                <c:pt idx="26">
                  <c:v>17.410933242506811</c:v>
                </c:pt>
                <c:pt idx="27">
                  <c:v>31.170224719101125</c:v>
                </c:pt>
                <c:pt idx="28">
                  <c:v>24.354794163626892</c:v>
                </c:pt>
                <c:pt idx="29">
                  <c:v>24.270533141210379</c:v>
                </c:pt>
                <c:pt idx="30">
                  <c:v>48.661378555798699</c:v>
                </c:pt>
                <c:pt idx="31">
                  <c:v>14.475382003395586</c:v>
                </c:pt>
                <c:pt idx="32">
                  <c:v>0</c:v>
                </c:pt>
                <c:pt idx="33">
                  <c:v>14.298081225680933</c:v>
                </c:pt>
                <c:pt idx="34">
                  <c:v>36.156946826758144</c:v>
                </c:pt>
                <c:pt idx="35">
                  <c:v>16.313261163734776</c:v>
                </c:pt>
                <c:pt idx="36">
                  <c:v>10.734617442482611</c:v>
                </c:pt>
                <c:pt idx="37">
                  <c:v>31.914389067524116</c:v>
                </c:pt>
                <c:pt idx="38">
                  <c:v>10.35954861111111</c:v>
                </c:pt>
                <c:pt idx="39">
                  <c:v>18.277831558567282</c:v>
                </c:pt>
                <c:pt idx="40">
                  <c:v>22.944110576923077</c:v>
                </c:pt>
                <c:pt idx="41">
                  <c:v>10.645191122071518</c:v>
                </c:pt>
                <c:pt idx="42">
                  <c:v>46.810420315236428</c:v>
                </c:pt>
                <c:pt idx="43">
                  <c:v>3.545454545454545</c:v>
                </c:pt>
                <c:pt idx="44">
                  <c:v>21.812680952380948</c:v>
                </c:pt>
                <c:pt idx="45">
                  <c:v>24.525847143210484</c:v>
                </c:pt>
                <c:pt idx="46">
                  <c:v>41.74044190665343</c:v>
                </c:pt>
                <c:pt idx="47">
                  <c:v>23.640955198647507</c:v>
                </c:pt>
                <c:pt idx="48">
                  <c:v>19.008944543828267</c:v>
                </c:pt>
                <c:pt idx="49">
                  <c:v>14.546756302521009</c:v>
                </c:pt>
                <c:pt idx="50">
                  <c:v>48.820807962529273</c:v>
                </c:pt>
                <c:pt idx="51">
                  <c:v>24.857827476038338</c:v>
                </c:pt>
                <c:pt idx="52">
                  <c:v>43.293103448275865</c:v>
                </c:pt>
                <c:pt idx="53">
                  <c:v>8.1842403628117903</c:v>
                </c:pt>
                <c:pt idx="54">
                  <c:v>5.1517287234042559</c:v>
                </c:pt>
                <c:pt idx="55">
                  <c:v>10.516179245283018</c:v>
                </c:pt>
                <c:pt idx="56">
                  <c:v>0</c:v>
                </c:pt>
                <c:pt idx="58">
                  <c:v>3.9686712485681555</c:v>
                </c:pt>
                <c:pt idx="59">
                  <c:v>21.732825163398697</c:v>
                </c:pt>
                <c:pt idx="60">
                  <c:v>18.846153846153847</c:v>
                </c:pt>
                <c:pt idx="61">
                  <c:v>4.5323819978046105</c:v>
                </c:pt>
                <c:pt idx="62">
                  <c:v>40.868188010899182</c:v>
                </c:pt>
                <c:pt idx="63">
                  <c:v>36.408709731170852</c:v>
                </c:pt>
                <c:pt idx="64">
                  <c:v>12.577397995705084</c:v>
                </c:pt>
                <c:pt idx="65">
                  <c:v>10.912400917813935</c:v>
                </c:pt>
                <c:pt idx="66">
                  <c:v>16.800695825049701</c:v>
                </c:pt>
                <c:pt idx="67">
                  <c:v>24.237530413625304</c:v>
                </c:pt>
                <c:pt idx="68">
                  <c:v>20.449814208702346</c:v>
                </c:pt>
                <c:pt idx="69">
                  <c:v>58.287793667007143</c:v>
                </c:pt>
                <c:pt idx="70">
                  <c:v>55.832564575645755</c:v>
                </c:pt>
                <c:pt idx="71">
                  <c:v>17.625327626918533</c:v>
                </c:pt>
                <c:pt idx="72">
                  <c:v>22.325008912655971</c:v>
                </c:pt>
                <c:pt idx="73">
                  <c:v>17.647381242387336</c:v>
                </c:pt>
                <c:pt idx="74">
                  <c:v>16.221966067864269</c:v>
                </c:pt>
                <c:pt idx="75">
                  <c:v>73.081858407079636</c:v>
                </c:pt>
                <c:pt idx="76">
                  <c:v>49.531325242718452</c:v>
                </c:pt>
                <c:pt idx="77">
                  <c:v>71.148995148995155</c:v>
                </c:pt>
                <c:pt idx="78">
                  <c:v>23.267326732673268</c:v>
                </c:pt>
              </c:numCache>
            </c:numRef>
          </c:val>
          <c:extLst>
            <c:ext xmlns:c16="http://schemas.microsoft.com/office/drawing/2014/chart" uri="{C3380CC4-5D6E-409C-BE32-E72D297353CC}">
              <c16:uniqueId val="{00000001-AE02-422C-8E27-2CD8C4E3A3D3}"/>
            </c:ext>
          </c:extLst>
        </c:ser>
        <c:ser>
          <c:idx val="2"/>
          <c:order val="3"/>
          <c:tx>
            <c:strRef>
              <c:f>Alusharidus!$BO$3</c:f>
              <c:strCache>
                <c:ptCount val="1"/>
                <c:pt idx="0">
                  <c:v>Toetused jm</c:v>
                </c:pt>
              </c:strCache>
            </c:strRef>
          </c:tx>
          <c:spPr>
            <a:solidFill>
              <a:schemeClr val="accent3"/>
            </a:solidFill>
            <a:ln>
              <a:noFill/>
            </a:ln>
            <a:effectLst/>
          </c:spPr>
          <c:invertIfNegative val="0"/>
          <c:cat>
            <c:strRef>
              <c:f>Alusharidus!$A$4:$A$82</c:f>
              <c:strCache>
                <c:ptCount val="79"/>
                <c:pt idx="0">
                  <c:v>Tallinna linn</c:v>
                </c:pt>
                <c:pt idx="1">
                  <c:v>Anija vald</c:v>
                </c:pt>
                <c:pt idx="2">
                  <c:v>Harku vald</c:v>
                </c:pt>
                <c:pt idx="3">
                  <c:v>Jõelähtme vald</c:v>
                </c:pt>
                <c:pt idx="4">
                  <c:v>Keila linn</c:v>
                </c:pt>
                <c:pt idx="5">
                  <c:v>Kiili vald</c:v>
                </c:pt>
                <c:pt idx="6">
                  <c:v>Kose vald</c:v>
                </c:pt>
                <c:pt idx="7">
                  <c:v>Kuusalu vald</c:v>
                </c:pt>
                <c:pt idx="8">
                  <c:v>Loksa linn</c:v>
                </c:pt>
                <c:pt idx="9">
                  <c:v>Maardu linn</c:v>
                </c:pt>
                <c:pt idx="10">
                  <c:v>Raasiku vald</c:v>
                </c:pt>
                <c:pt idx="11">
                  <c:v>Rae vald</c:v>
                </c:pt>
                <c:pt idx="12">
                  <c:v>Saku vald</c:v>
                </c:pt>
                <c:pt idx="13">
                  <c:v>Saue vald</c:v>
                </c:pt>
                <c:pt idx="14">
                  <c:v>Viimsi vald</c:v>
                </c:pt>
                <c:pt idx="15">
                  <c:v>Lääne-Harju vald</c:v>
                </c:pt>
                <c:pt idx="16">
                  <c:v>Hiiumaa vald</c:v>
                </c:pt>
                <c:pt idx="17">
                  <c:v>Jõhvi vald</c:v>
                </c:pt>
                <c:pt idx="18">
                  <c:v>Kohtla-Järve linn</c:v>
                </c:pt>
                <c:pt idx="19">
                  <c:v>Lüganuse vald</c:v>
                </c:pt>
                <c:pt idx="20">
                  <c:v>Narva linn</c:v>
                </c:pt>
                <c:pt idx="21">
                  <c:v>Narva-Jõesuu linn</c:v>
                </c:pt>
                <c:pt idx="22">
                  <c:v>Sillamäe linn</c:v>
                </c:pt>
                <c:pt idx="23">
                  <c:v>Toila vald</c:v>
                </c:pt>
                <c:pt idx="24">
                  <c:v>Alutaguse vald</c:v>
                </c:pt>
                <c:pt idx="25">
                  <c:v>Paide linn</c:v>
                </c:pt>
                <c:pt idx="26">
                  <c:v>Türi vald</c:v>
                </c:pt>
                <c:pt idx="27">
                  <c:v>Järva vald</c:v>
                </c:pt>
                <c:pt idx="28">
                  <c:v>Jõgeva vald</c:v>
                </c:pt>
                <c:pt idx="29">
                  <c:v>Põltsamaa vald</c:v>
                </c:pt>
                <c:pt idx="30">
                  <c:v>Mustvee vald</c:v>
                </c:pt>
                <c:pt idx="31">
                  <c:v>Haapsalu linn</c:v>
                </c:pt>
                <c:pt idx="32">
                  <c:v>Vormsi vald</c:v>
                </c:pt>
                <c:pt idx="33">
                  <c:v>Lääne-Nigula vald</c:v>
                </c:pt>
                <c:pt idx="34">
                  <c:v>Haljala vald</c:v>
                </c:pt>
                <c:pt idx="35">
                  <c:v>Kadrina vald</c:v>
                </c:pt>
                <c:pt idx="36">
                  <c:v>Rakvere linn</c:v>
                </c:pt>
                <c:pt idx="37">
                  <c:v>Rakvere vald</c:v>
                </c:pt>
                <c:pt idx="38">
                  <c:v>Tapa vald</c:v>
                </c:pt>
                <c:pt idx="39">
                  <c:v>Vinni vald</c:v>
                </c:pt>
                <c:pt idx="40">
                  <c:v>Viru-Nigula vald</c:v>
                </c:pt>
                <c:pt idx="41">
                  <c:v>Väike-Maarja vald</c:v>
                </c:pt>
                <c:pt idx="42">
                  <c:v>Häädemeeste vald</c:v>
                </c:pt>
                <c:pt idx="43">
                  <c:v>Kihnu vald</c:v>
                </c:pt>
                <c:pt idx="44">
                  <c:v>Saarde vald</c:v>
                </c:pt>
                <c:pt idx="45">
                  <c:v>Pärnu linn</c:v>
                </c:pt>
                <c:pt idx="46">
                  <c:v>Tori vald</c:v>
                </c:pt>
                <c:pt idx="47">
                  <c:v>Põhja-Pärnumaa vald</c:v>
                </c:pt>
                <c:pt idx="48">
                  <c:v>Lääneranna vald</c:v>
                </c:pt>
                <c:pt idx="49">
                  <c:v>Kanepi vald</c:v>
                </c:pt>
                <c:pt idx="50">
                  <c:v>Põlva vald</c:v>
                </c:pt>
                <c:pt idx="51">
                  <c:v>Räpina vald</c:v>
                </c:pt>
                <c:pt idx="52">
                  <c:v>Kehtna vald</c:v>
                </c:pt>
                <c:pt idx="53">
                  <c:v>Kohila vald</c:v>
                </c:pt>
                <c:pt idx="54">
                  <c:v>Märjamaa vald</c:v>
                </c:pt>
                <c:pt idx="55">
                  <c:v>Rapla vald</c:v>
                </c:pt>
                <c:pt idx="56">
                  <c:v>Muhu vald</c:v>
                </c:pt>
                <c:pt idx="57">
                  <c:v>Ruhnu vald</c:v>
                </c:pt>
                <c:pt idx="58">
                  <c:v>Saaremaa vald</c:v>
                </c:pt>
                <c:pt idx="59">
                  <c:v>Kambja vald</c:v>
                </c:pt>
                <c:pt idx="60">
                  <c:v>Luunja vald</c:v>
                </c:pt>
                <c:pt idx="61">
                  <c:v>Nõo vald</c:v>
                </c:pt>
                <c:pt idx="62">
                  <c:v>Peipsiääre vald</c:v>
                </c:pt>
                <c:pt idx="63">
                  <c:v>Tartu linn</c:v>
                </c:pt>
                <c:pt idx="64">
                  <c:v>Tartu vald</c:v>
                </c:pt>
                <c:pt idx="65">
                  <c:v>Elva vald</c:v>
                </c:pt>
                <c:pt idx="66">
                  <c:v>Kastre vald</c:v>
                </c:pt>
                <c:pt idx="67">
                  <c:v>Mulgi vald</c:v>
                </c:pt>
                <c:pt idx="68">
                  <c:v>Viljandi linn</c:v>
                </c:pt>
                <c:pt idx="69">
                  <c:v>Viljandi vald</c:v>
                </c:pt>
                <c:pt idx="70">
                  <c:v>Põhja-Sakala vald</c:v>
                </c:pt>
                <c:pt idx="71">
                  <c:v>Otepää vald</c:v>
                </c:pt>
                <c:pt idx="72">
                  <c:v>Valga vald</c:v>
                </c:pt>
                <c:pt idx="73">
                  <c:v>Tõrva vald</c:v>
                </c:pt>
                <c:pt idx="74">
                  <c:v>Antsla vald</c:v>
                </c:pt>
                <c:pt idx="75">
                  <c:v>Rõuge vald</c:v>
                </c:pt>
                <c:pt idx="76">
                  <c:v>Võru linn</c:v>
                </c:pt>
                <c:pt idx="77">
                  <c:v>Võru vald</c:v>
                </c:pt>
                <c:pt idx="78">
                  <c:v>Setomaa vald</c:v>
                </c:pt>
              </c:strCache>
            </c:strRef>
          </c:cat>
          <c:val>
            <c:numRef>
              <c:f>Alusharidus!$BO$4:$BO$82</c:f>
              <c:numCache>
                <c:formatCode>#,##0</c:formatCode>
                <c:ptCount val="79"/>
                <c:pt idx="0">
                  <c:v>18.318271620784415</c:v>
                </c:pt>
                <c:pt idx="1">
                  <c:v>34.743326885880087</c:v>
                </c:pt>
                <c:pt idx="2">
                  <c:v>17.231462765957396</c:v>
                </c:pt>
                <c:pt idx="3">
                  <c:v>22.941418020679453</c:v>
                </c:pt>
                <c:pt idx="4">
                  <c:v>23.122276170798898</c:v>
                </c:pt>
                <c:pt idx="5">
                  <c:v>12.809695665083211</c:v>
                </c:pt>
                <c:pt idx="6">
                  <c:v>28.050507309941562</c:v>
                </c:pt>
                <c:pt idx="7">
                  <c:v>11.814452380952288</c:v>
                </c:pt>
                <c:pt idx="8">
                  <c:v>55.170080321285184</c:v>
                </c:pt>
                <c:pt idx="9">
                  <c:v>33.70811291963372</c:v>
                </c:pt>
                <c:pt idx="10">
                  <c:v>27.380301573426586</c:v>
                </c:pt>
                <c:pt idx="11">
                  <c:v>18.343559423769612</c:v>
                </c:pt>
                <c:pt idx="12">
                  <c:v>11.848892781316264</c:v>
                </c:pt>
                <c:pt idx="13">
                  <c:v>10.836869582745328</c:v>
                </c:pt>
                <c:pt idx="14">
                  <c:v>24.146749475890982</c:v>
                </c:pt>
                <c:pt idx="15">
                  <c:v>38.195145495951266</c:v>
                </c:pt>
                <c:pt idx="16">
                  <c:v>28.970846774193518</c:v>
                </c:pt>
                <c:pt idx="17">
                  <c:v>107.38607678571435</c:v>
                </c:pt>
                <c:pt idx="18">
                  <c:v>127.73324091478695</c:v>
                </c:pt>
                <c:pt idx="19">
                  <c:v>132.92240012886597</c:v>
                </c:pt>
                <c:pt idx="20">
                  <c:v>98.635743365228436</c:v>
                </c:pt>
                <c:pt idx="21">
                  <c:v>109.30005718954251</c:v>
                </c:pt>
                <c:pt idx="22">
                  <c:v>111.6537216681777</c:v>
                </c:pt>
                <c:pt idx="23">
                  <c:v>123.16105361596001</c:v>
                </c:pt>
                <c:pt idx="24">
                  <c:v>126.35472999999993</c:v>
                </c:pt>
                <c:pt idx="25">
                  <c:v>32.741621295658135</c:v>
                </c:pt>
                <c:pt idx="26">
                  <c:v>26.476817098092656</c:v>
                </c:pt>
                <c:pt idx="27">
                  <c:v>31.639838951310832</c:v>
                </c:pt>
                <c:pt idx="28">
                  <c:v>26.102484366857546</c:v>
                </c:pt>
                <c:pt idx="29">
                  <c:v>31.738739193083582</c:v>
                </c:pt>
                <c:pt idx="30">
                  <c:v>52.595694748358774</c:v>
                </c:pt>
                <c:pt idx="31">
                  <c:v>26.04406479909462</c:v>
                </c:pt>
                <c:pt idx="32">
                  <c:v>11.140625000000199</c:v>
                </c:pt>
                <c:pt idx="33">
                  <c:v>22.429406614785961</c:v>
                </c:pt>
                <c:pt idx="34">
                  <c:v>40.969716981132137</c:v>
                </c:pt>
                <c:pt idx="35">
                  <c:v>33.615378890392492</c:v>
                </c:pt>
                <c:pt idx="36">
                  <c:v>26.217296682718022</c:v>
                </c:pt>
                <c:pt idx="37">
                  <c:v>31.978834405144777</c:v>
                </c:pt>
                <c:pt idx="38">
                  <c:v>24.297723958333343</c:v>
                </c:pt>
                <c:pt idx="39">
                  <c:v>26.559070667957332</c:v>
                </c:pt>
                <c:pt idx="40">
                  <c:v>41.802560096153755</c:v>
                </c:pt>
                <c:pt idx="41">
                  <c:v>32.036535141800272</c:v>
                </c:pt>
                <c:pt idx="42">
                  <c:v>22.244496497372992</c:v>
                </c:pt>
                <c:pt idx="43">
                  <c:v>27.312499999999972</c:v>
                </c:pt>
                <c:pt idx="44">
                  <c:v>28.792747619047606</c:v>
                </c:pt>
                <c:pt idx="45">
                  <c:v>32.515127999010616</c:v>
                </c:pt>
                <c:pt idx="46">
                  <c:v>26.951452333664236</c:v>
                </c:pt>
                <c:pt idx="47">
                  <c:v>59.620384615384538</c:v>
                </c:pt>
                <c:pt idx="48">
                  <c:v>40.753215563506188</c:v>
                </c:pt>
                <c:pt idx="49">
                  <c:v>25.38768487394946</c:v>
                </c:pt>
                <c:pt idx="50">
                  <c:v>37.771314402810248</c:v>
                </c:pt>
                <c:pt idx="51">
                  <c:v>23.058706070287506</c:v>
                </c:pt>
                <c:pt idx="52">
                  <c:v>35.849399425287352</c:v>
                </c:pt>
                <c:pt idx="53">
                  <c:v>24.28963340891903</c:v>
                </c:pt>
                <c:pt idx="54">
                  <c:v>34.269353723404201</c:v>
                </c:pt>
                <c:pt idx="55">
                  <c:v>26.595091981132192</c:v>
                </c:pt>
                <c:pt idx="56">
                  <c:v>27.035802469135909</c:v>
                </c:pt>
                <c:pt idx="58">
                  <c:v>32.331814432989681</c:v>
                </c:pt>
                <c:pt idx="59">
                  <c:v>13.894745915032633</c:v>
                </c:pt>
                <c:pt idx="60">
                  <c:v>16.963036858974156</c:v>
                </c:pt>
                <c:pt idx="61">
                  <c:v>22.528861141602714</c:v>
                </c:pt>
                <c:pt idx="62">
                  <c:v>34.485558583106219</c:v>
                </c:pt>
                <c:pt idx="63">
                  <c:v>34.912421128637952</c:v>
                </c:pt>
                <c:pt idx="64">
                  <c:v>21.44258321402998</c:v>
                </c:pt>
                <c:pt idx="65">
                  <c:v>39.058955986649885</c:v>
                </c:pt>
                <c:pt idx="66">
                  <c:v>14.79320410868128</c:v>
                </c:pt>
                <c:pt idx="67">
                  <c:v>24.524212287104692</c:v>
                </c:pt>
                <c:pt idx="68">
                  <c:v>32.258887177512506</c:v>
                </c:pt>
                <c:pt idx="69">
                  <c:v>23.1068194586313</c:v>
                </c:pt>
                <c:pt idx="70">
                  <c:v>32.076741236162313</c:v>
                </c:pt>
                <c:pt idx="71">
                  <c:v>20.535327626918544</c:v>
                </c:pt>
                <c:pt idx="72">
                  <c:v>25.648406120023832</c:v>
                </c:pt>
                <c:pt idx="73">
                  <c:v>30.451205846528612</c:v>
                </c:pt>
                <c:pt idx="74">
                  <c:v>28.665194610778368</c:v>
                </c:pt>
                <c:pt idx="75">
                  <c:v>32.124878318584038</c:v>
                </c:pt>
                <c:pt idx="76">
                  <c:v>45.87023422330094</c:v>
                </c:pt>
                <c:pt idx="77">
                  <c:v>39.096955994455854</c:v>
                </c:pt>
                <c:pt idx="78">
                  <c:v>29.766039603960316</c:v>
                </c:pt>
              </c:numCache>
            </c:numRef>
          </c:val>
          <c:extLst>
            <c:ext xmlns:c16="http://schemas.microsoft.com/office/drawing/2014/chart" uri="{C3380CC4-5D6E-409C-BE32-E72D297353CC}">
              <c16:uniqueId val="{00000002-AE02-422C-8E27-2CD8C4E3A3D3}"/>
            </c:ext>
          </c:extLst>
        </c:ser>
        <c:dLbls>
          <c:showLegendKey val="0"/>
          <c:showVal val="0"/>
          <c:showCatName val="0"/>
          <c:showSerName val="0"/>
          <c:showPercent val="0"/>
          <c:showBubbleSize val="0"/>
        </c:dLbls>
        <c:gapWidth val="150"/>
        <c:overlap val="100"/>
        <c:axId val="1397691631"/>
        <c:axId val="1397693071"/>
      </c:barChart>
      <c:catAx>
        <c:axId val="13976916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397693071"/>
        <c:crosses val="autoZero"/>
        <c:auto val="1"/>
        <c:lblAlgn val="ctr"/>
        <c:lblOffset val="100"/>
        <c:noMultiLvlLbl val="0"/>
      </c:catAx>
      <c:valAx>
        <c:axId val="139769307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3976916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t-EE"/>
              <a:t>Lasteaia kulu jaotus 2025</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t-EE"/>
        </a:p>
      </c:txPr>
    </c:title>
    <c:autoTitleDeleted val="0"/>
    <c:plotArea>
      <c:layout/>
      <c:pie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4FEC-432A-96F3-AD2D6EB542F6}"/>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4FEC-432A-96F3-AD2D6EB542F6}"/>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4FEC-432A-96F3-AD2D6EB542F6}"/>
              </c:ext>
            </c:extLst>
          </c:dPt>
          <c:dLbls>
            <c:dLbl>
              <c:idx val="0"/>
              <c:layout>
                <c:manualLayout>
                  <c:x val="-0.19419942933962531"/>
                  <c:y val="-0.13445361353844504"/>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FEC-432A-96F3-AD2D6EB542F6}"/>
                </c:ext>
              </c:extLst>
            </c:dLbl>
            <c:dLbl>
              <c:idx val="1"/>
              <c:layout>
                <c:manualLayout>
                  <c:x val="0.18491741885922797"/>
                  <c:y val="3.986250861009441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FEC-432A-96F3-AD2D6EB542F6}"/>
                </c:ext>
              </c:extLst>
            </c:dLbl>
            <c:dLbl>
              <c:idx val="2"/>
              <c:layout>
                <c:manualLayout>
                  <c:x val="0.1256640785755439"/>
                  <c:y val="0.16139544306532866"/>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lt1"/>
                      </a:solidFill>
                      <a:latin typeface="+mn-lt"/>
                      <a:ea typeface="+mn-ea"/>
                      <a:cs typeface="+mn-cs"/>
                    </a:defRPr>
                  </a:pPr>
                  <a:endParaRPr lang="et-EE"/>
                </a:p>
              </c:txPr>
              <c:dLblPos val="bestFit"/>
              <c:showLegendKey val="0"/>
              <c:showVal val="1"/>
              <c:showCatName val="1"/>
              <c:showSerName val="0"/>
              <c:showPercent val="1"/>
              <c:showBubbleSize val="0"/>
              <c:extLst>
                <c:ext xmlns:c15="http://schemas.microsoft.com/office/drawing/2012/chart" uri="{CE6537A1-D6FC-4f65-9D91-7224C49458BB}">
                  <c15:layout>
                    <c:manualLayout>
                      <c:w val="0.15544418228209278"/>
                      <c:h val="0.13711835334476843"/>
                    </c:manualLayout>
                  </c15:layout>
                </c:ext>
                <c:ext xmlns:c16="http://schemas.microsoft.com/office/drawing/2014/chart" uri="{C3380CC4-5D6E-409C-BE32-E72D297353CC}">
                  <c16:uniqueId val="{00000005-4FEC-432A-96F3-AD2D6EB542F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t-EE"/>
              </a:p>
            </c:txPr>
            <c:dLblPos val="inEnd"/>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Alusharidus!$BE$3:$BG$3</c:f>
              <c:strCache>
                <c:ptCount val="3"/>
                <c:pt idx="0">
                  <c:v>sh tööjõukulud</c:v>
                </c:pt>
                <c:pt idx="1">
                  <c:v>sh amort, üür ja rent</c:v>
                </c:pt>
                <c:pt idx="2">
                  <c:v>sh majandamiskulu (v.a üür ja rent) jms</c:v>
                </c:pt>
              </c:strCache>
            </c:strRef>
          </c:cat>
          <c:val>
            <c:numRef>
              <c:f>Alusharidus!$BE$83:$BG$83</c:f>
              <c:numCache>
                <c:formatCode>#,##0</c:formatCode>
                <c:ptCount val="3"/>
                <c:pt idx="0">
                  <c:v>508.80158597731383</c:v>
                </c:pt>
                <c:pt idx="1">
                  <c:v>35.384151588509489</c:v>
                </c:pt>
                <c:pt idx="2">
                  <c:v>124.76017514630468</c:v>
                </c:pt>
              </c:numCache>
            </c:numRef>
          </c:val>
          <c:extLst>
            <c:ext xmlns:c16="http://schemas.microsoft.com/office/drawing/2014/chart" uri="{C3380CC4-5D6E-409C-BE32-E72D297353CC}">
              <c16:uniqueId val="{00000006-4FEC-432A-96F3-AD2D6EB542F6}"/>
            </c:ext>
          </c:extLst>
        </c:ser>
        <c:dLbls>
          <c:dLblPos val="inEnd"/>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t-EE"/>
              <a:t>Lasteaia kulud katteallika lõikes 2025</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t-EE"/>
        </a:p>
      </c:txPr>
    </c:title>
    <c:autoTitleDeleted val="0"/>
    <c:plotArea>
      <c:layout/>
      <c:pie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572A-47B7-8A87-3738F7F0BFC8}"/>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572A-47B7-8A87-3738F7F0BFC8}"/>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572A-47B7-8A87-3738F7F0BFC8}"/>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572A-47B7-8A87-3738F7F0BFC8}"/>
              </c:ext>
            </c:extLst>
          </c:dPt>
          <c:dLbls>
            <c:dLbl>
              <c:idx val="0"/>
              <c:layout>
                <c:manualLayout>
                  <c:x val="-0.1393789720681092"/>
                  <c:y val="-0.19856133763725503"/>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72A-47B7-8A87-3738F7F0BFC8}"/>
                </c:ext>
              </c:extLst>
            </c:dLbl>
            <c:dLbl>
              <c:idx val="1"/>
              <c:layout>
                <c:manualLayout>
                  <c:x val="0.11085437517530118"/>
                  <c:y val="0.16364959954619732"/>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lt1"/>
                      </a:solidFill>
                      <a:latin typeface="+mn-lt"/>
                      <a:ea typeface="+mn-ea"/>
                      <a:cs typeface="+mn-cs"/>
                    </a:defRPr>
                  </a:pPr>
                  <a:endParaRPr lang="et-EE"/>
                </a:p>
              </c:txPr>
              <c:dLblPos val="bestFit"/>
              <c:showLegendKey val="0"/>
              <c:showVal val="1"/>
              <c:showCatName val="1"/>
              <c:showSerName val="0"/>
              <c:showPercent val="1"/>
              <c:showBubbleSize val="0"/>
              <c:extLst>
                <c:ext xmlns:c15="http://schemas.microsoft.com/office/drawing/2012/chart" uri="{CE6537A1-D6FC-4f65-9D91-7224C49458BB}">
                  <c15:layout>
                    <c:manualLayout>
                      <c:w val="0.1211120764552563"/>
                      <c:h val="9.9434097324455364E-2"/>
                    </c:manualLayout>
                  </c15:layout>
                </c:ext>
                <c:ext xmlns:c16="http://schemas.microsoft.com/office/drawing/2014/chart" uri="{C3380CC4-5D6E-409C-BE32-E72D297353CC}">
                  <c16:uniqueId val="{00000003-572A-47B7-8A87-3738F7F0BFC8}"/>
                </c:ext>
              </c:extLst>
            </c:dLbl>
            <c:dLbl>
              <c:idx val="2"/>
              <c:layout>
                <c:manualLayout>
                  <c:x val="7.4303755036702016E-2"/>
                  <c:y val="0.1567378884672006"/>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lt1"/>
                      </a:solidFill>
                      <a:latin typeface="+mn-lt"/>
                      <a:ea typeface="+mn-ea"/>
                      <a:cs typeface="+mn-cs"/>
                    </a:defRPr>
                  </a:pPr>
                  <a:endParaRPr lang="et-EE"/>
                </a:p>
              </c:txPr>
              <c:dLblPos val="bestFit"/>
              <c:showLegendKey val="0"/>
              <c:showVal val="1"/>
              <c:showCatName val="1"/>
              <c:showSerName val="0"/>
              <c:showPercent val="1"/>
              <c:showBubbleSize val="0"/>
              <c:extLst>
                <c:ext xmlns:c15="http://schemas.microsoft.com/office/drawing/2012/chart" uri="{CE6537A1-D6FC-4f65-9D91-7224C49458BB}">
                  <c15:layout>
                    <c:manualLayout>
                      <c:w val="0.10352736750651607"/>
                      <c:h val="0.10972569252171092"/>
                    </c:manualLayout>
                  </c15:layout>
                </c:ext>
                <c:ext xmlns:c16="http://schemas.microsoft.com/office/drawing/2014/chart" uri="{C3380CC4-5D6E-409C-BE32-E72D297353CC}">
                  <c16:uniqueId val="{00000005-572A-47B7-8A87-3738F7F0BFC8}"/>
                </c:ext>
              </c:extLst>
            </c:dLbl>
            <c:dLbl>
              <c:idx val="3"/>
              <c:layout>
                <c:manualLayout>
                  <c:x val="3.8130485644116315E-2"/>
                  <c:y val="0.10381680420307668"/>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lt1"/>
                      </a:solidFill>
                      <a:latin typeface="+mn-lt"/>
                      <a:ea typeface="+mn-ea"/>
                      <a:cs typeface="+mn-cs"/>
                    </a:defRPr>
                  </a:pPr>
                  <a:endParaRPr lang="et-EE"/>
                </a:p>
              </c:txPr>
              <c:dLblPos val="bestFit"/>
              <c:showLegendKey val="0"/>
              <c:showVal val="1"/>
              <c:showCatName val="1"/>
              <c:showSerName val="0"/>
              <c:showPercent val="1"/>
              <c:showBubbleSize val="0"/>
              <c:extLst>
                <c:ext xmlns:c15="http://schemas.microsoft.com/office/drawing/2012/chart" uri="{CE6537A1-D6FC-4f65-9D91-7224C49458BB}">
                  <c15:layout>
                    <c:manualLayout>
                      <c:w val="0.11235447437011295"/>
                      <c:h val="9.257303385961832E-2"/>
                    </c:manualLayout>
                  </c15:layout>
                </c:ext>
                <c:ext xmlns:c16="http://schemas.microsoft.com/office/drawing/2014/chart" uri="{C3380CC4-5D6E-409C-BE32-E72D297353CC}">
                  <c16:uniqueId val="{00000007-572A-47B7-8A87-3738F7F0BFC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t-EE"/>
              </a:p>
            </c:txPr>
            <c:dLblPos val="inEnd"/>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Alusharidus!$BL$3:$BO$3</c:f>
              <c:strCache>
                <c:ptCount val="4"/>
                <c:pt idx="0">
                  <c:v>KOV</c:v>
                </c:pt>
                <c:pt idx="1">
                  <c:v>Lapsevanemad</c:v>
                </c:pt>
                <c:pt idx="2">
                  <c:v>Teised KOV-id</c:v>
                </c:pt>
                <c:pt idx="3">
                  <c:v>Toetused jm</c:v>
                </c:pt>
              </c:strCache>
            </c:strRef>
          </c:cat>
          <c:val>
            <c:numRef>
              <c:f>Alusharidus!$BL$83:$BO$83</c:f>
              <c:numCache>
                <c:formatCode>0</c:formatCode>
                <c:ptCount val="4"/>
                <c:pt idx="0" formatCode="#,##0">
                  <c:v>547.70561772401538</c:v>
                </c:pt>
                <c:pt idx="1">
                  <c:v>71.01626345920873</c:v>
                </c:pt>
                <c:pt idx="2">
                  <c:v>19.388348106568802</c:v>
                </c:pt>
                <c:pt idx="3" formatCode="#,##0">
                  <c:v>30.835683422335091</c:v>
                </c:pt>
              </c:numCache>
            </c:numRef>
          </c:val>
          <c:extLst>
            <c:ext xmlns:c16="http://schemas.microsoft.com/office/drawing/2014/chart" uri="{C3380CC4-5D6E-409C-BE32-E72D297353CC}">
              <c16:uniqueId val="{00000008-572A-47B7-8A87-3738F7F0BFC8}"/>
            </c:ext>
          </c:extLst>
        </c:ser>
        <c:dLbls>
          <c:dLblPos val="inEnd"/>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t-EE"/>
              <a:t>Lasteaia kohamaksumus KOV gruppide lõikes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t-EE"/>
        </a:p>
      </c:txPr>
    </c:title>
    <c:autoTitleDeleted val="0"/>
    <c:plotArea>
      <c:layout/>
      <c:barChart>
        <c:barDir val="col"/>
        <c:grouping val="stacked"/>
        <c:varyColors val="0"/>
        <c:ser>
          <c:idx val="0"/>
          <c:order val="0"/>
          <c:tx>
            <c:strRef>
              <c:f>Alusharidus!$BE$3</c:f>
              <c:strCache>
                <c:ptCount val="1"/>
                <c:pt idx="0">
                  <c:v>sh tööjõukulud</c:v>
                </c:pt>
              </c:strCache>
            </c:strRef>
          </c:tx>
          <c:spPr>
            <a:solidFill>
              <a:schemeClr val="accent1"/>
            </a:solidFill>
            <a:ln>
              <a:noFill/>
            </a:ln>
            <a:effectLst/>
          </c:spPr>
          <c:invertIfNegative val="0"/>
          <c:cat>
            <c:strRef>
              <c:f>(Alusharidus!$A$90:$A$92,Alusharidus!$A$95:$A$97,Alusharidus!$A$100:$A$103)</c:f>
              <c:strCache>
                <c:ptCount val="10"/>
                <c:pt idx="0">
                  <c:v>Keskuslik</c:v>
                </c:pt>
                <c:pt idx="1">
                  <c:v>Keskus-tagamaaline</c:v>
                </c:pt>
                <c:pt idx="2">
                  <c:v>Tagamaaline</c:v>
                </c:pt>
                <c:pt idx="3">
                  <c:v>Tulukas</c:v>
                </c:pt>
                <c:pt idx="4">
                  <c:v>Keskmiselt tulukas</c:v>
                </c:pt>
                <c:pt idx="5">
                  <c:v>Toimetulev</c:v>
                </c:pt>
                <c:pt idx="6">
                  <c:v>&gt;16 000 el</c:v>
                </c:pt>
                <c:pt idx="7">
                  <c:v>8000-15999 el</c:v>
                </c:pt>
                <c:pt idx="8">
                  <c:v>4000-7999 el</c:v>
                </c:pt>
                <c:pt idx="9">
                  <c:v>&lt;4000 el</c:v>
                </c:pt>
              </c:strCache>
            </c:strRef>
          </c:cat>
          <c:val>
            <c:numRef>
              <c:f>(Alusharidus!$BE$90:$BE$92,Alusharidus!$BE$95:$BE$97,Alusharidus!$BE$100:$BE$103)</c:f>
              <c:numCache>
                <c:formatCode>#,##0</c:formatCode>
                <c:ptCount val="10"/>
                <c:pt idx="0">
                  <c:v>510.01526834826018</c:v>
                </c:pt>
                <c:pt idx="1">
                  <c:v>509.50953909601145</c:v>
                </c:pt>
                <c:pt idx="2">
                  <c:v>500.64977975076448</c:v>
                </c:pt>
                <c:pt idx="3">
                  <c:v>505.29765639267953</c:v>
                </c:pt>
                <c:pt idx="4">
                  <c:v>534.06832550179843</c:v>
                </c:pt>
                <c:pt idx="5">
                  <c:v>504.31868110236218</c:v>
                </c:pt>
                <c:pt idx="6">
                  <c:v>507.77381337090623</c:v>
                </c:pt>
                <c:pt idx="7">
                  <c:v>505.52706143400081</c:v>
                </c:pt>
                <c:pt idx="8">
                  <c:v>515.20482667229601</c:v>
                </c:pt>
                <c:pt idx="9">
                  <c:v>576.43077842377272</c:v>
                </c:pt>
              </c:numCache>
            </c:numRef>
          </c:val>
          <c:extLst>
            <c:ext xmlns:c16="http://schemas.microsoft.com/office/drawing/2014/chart" uri="{C3380CC4-5D6E-409C-BE32-E72D297353CC}">
              <c16:uniqueId val="{00000000-5EA9-4068-B009-0EB0C708508C}"/>
            </c:ext>
          </c:extLst>
        </c:ser>
        <c:ser>
          <c:idx val="1"/>
          <c:order val="1"/>
          <c:tx>
            <c:strRef>
              <c:f>Alusharidus!$BF$3</c:f>
              <c:strCache>
                <c:ptCount val="1"/>
                <c:pt idx="0">
                  <c:v>sh amort, üür ja rent</c:v>
                </c:pt>
              </c:strCache>
            </c:strRef>
          </c:tx>
          <c:spPr>
            <a:solidFill>
              <a:schemeClr val="accent2"/>
            </a:solidFill>
            <a:ln>
              <a:noFill/>
            </a:ln>
            <a:effectLst/>
          </c:spPr>
          <c:invertIfNegative val="0"/>
          <c:cat>
            <c:strRef>
              <c:f>(Alusharidus!$A$90:$A$92,Alusharidus!$A$95:$A$97,Alusharidus!$A$100:$A$103)</c:f>
              <c:strCache>
                <c:ptCount val="10"/>
                <c:pt idx="0">
                  <c:v>Keskuslik</c:v>
                </c:pt>
                <c:pt idx="1">
                  <c:v>Keskus-tagamaaline</c:v>
                </c:pt>
                <c:pt idx="2">
                  <c:v>Tagamaaline</c:v>
                </c:pt>
                <c:pt idx="3">
                  <c:v>Tulukas</c:v>
                </c:pt>
                <c:pt idx="4">
                  <c:v>Keskmiselt tulukas</c:v>
                </c:pt>
                <c:pt idx="5">
                  <c:v>Toimetulev</c:v>
                </c:pt>
                <c:pt idx="6">
                  <c:v>&gt;16 000 el</c:v>
                </c:pt>
                <c:pt idx="7">
                  <c:v>8000-15999 el</c:v>
                </c:pt>
                <c:pt idx="8">
                  <c:v>4000-7999 el</c:v>
                </c:pt>
                <c:pt idx="9">
                  <c:v>&lt;4000 el</c:v>
                </c:pt>
              </c:strCache>
            </c:strRef>
          </c:cat>
          <c:val>
            <c:numRef>
              <c:f>(Alusharidus!$BF$90:$BF$92,Alusharidus!$BF$95:$BF$97,Alusharidus!$BF$100:$BF$103)</c:f>
              <c:numCache>
                <c:formatCode>#,##0</c:formatCode>
                <c:ptCount val="10"/>
                <c:pt idx="0">
                  <c:v>32.984213798025159</c:v>
                </c:pt>
                <c:pt idx="1">
                  <c:v>44.385774824473394</c:v>
                </c:pt>
                <c:pt idx="2">
                  <c:v>29.254708198292786</c:v>
                </c:pt>
                <c:pt idx="3">
                  <c:v>29.869140772703307</c:v>
                </c:pt>
                <c:pt idx="4">
                  <c:v>53.703865200912709</c:v>
                </c:pt>
                <c:pt idx="5">
                  <c:v>34.8558722326189</c:v>
                </c:pt>
                <c:pt idx="6">
                  <c:v>34.131122570338157</c:v>
                </c:pt>
                <c:pt idx="7">
                  <c:v>36.883771783463082</c:v>
                </c:pt>
                <c:pt idx="8">
                  <c:v>37.735351346280154</c:v>
                </c:pt>
                <c:pt idx="9">
                  <c:v>37.041585917312659</c:v>
                </c:pt>
              </c:numCache>
            </c:numRef>
          </c:val>
          <c:extLst>
            <c:ext xmlns:c16="http://schemas.microsoft.com/office/drawing/2014/chart" uri="{C3380CC4-5D6E-409C-BE32-E72D297353CC}">
              <c16:uniqueId val="{00000001-5EA9-4068-B009-0EB0C708508C}"/>
            </c:ext>
          </c:extLst>
        </c:ser>
        <c:ser>
          <c:idx val="2"/>
          <c:order val="2"/>
          <c:tx>
            <c:strRef>
              <c:f>Alusharidus!$BG$3</c:f>
              <c:strCache>
                <c:ptCount val="1"/>
                <c:pt idx="0">
                  <c:v>sh majandamiskulu (v.a üür ja rent) jms</c:v>
                </c:pt>
              </c:strCache>
            </c:strRef>
          </c:tx>
          <c:spPr>
            <a:solidFill>
              <a:schemeClr val="accent3"/>
            </a:solidFill>
            <a:ln>
              <a:noFill/>
            </a:ln>
            <a:effectLst/>
          </c:spPr>
          <c:invertIfNegative val="0"/>
          <c:cat>
            <c:strRef>
              <c:f>(Alusharidus!$A$90:$A$92,Alusharidus!$A$95:$A$97,Alusharidus!$A$100:$A$103)</c:f>
              <c:strCache>
                <c:ptCount val="10"/>
                <c:pt idx="0">
                  <c:v>Keskuslik</c:v>
                </c:pt>
                <c:pt idx="1">
                  <c:v>Keskus-tagamaaline</c:v>
                </c:pt>
                <c:pt idx="2">
                  <c:v>Tagamaaline</c:v>
                </c:pt>
                <c:pt idx="3">
                  <c:v>Tulukas</c:v>
                </c:pt>
                <c:pt idx="4">
                  <c:v>Keskmiselt tulukas</c:v>
                </c:pt>
                <c:pt idx="5">
                  <c:v>Toimetulev</c:v>
                </c:pt>
                <c:pt idx="6">
                  <c:v>&gt;16 000 el</c:v>
                </c:pt>
                <c:pt idx="7">
                  <c:v>8000-15999 el</c:v>
                </c:pt>
                <c:pt idx="8">
                  <c:v>4000-7999 el</c:v>
                </c:pt>
                <c:pt idx="9">
                  <c:v>&lt;4000 el</c:v>
                </c:pt>
              </c:strCache>
            </c:strRef>
          </c:cat>
          <c:val>
            <c:numRef>
              <c:f>(Alusharidus!$BG$90:$BG$92,Alusharidus!$BG$95:$BG$97,Alusharidus!$BG$100:$BG$103)</c:f>
              <c:numCache>
                <c:formatCode>#,##0</c:formatCode>
                <c:ptCount val="10"/>
                <c:pt idx="0">
                  <c:v>128.31977559789004</c:v>
                </c:pt>
                <c:pt idx="1">
                  <c:v>117.40554013292575</c:v>
                </c:pt>
                <c:pt idx="2">
                  <c:v>121.02464726886116</c:v>
                </c:pt>
                <c:pt idx="3">
                  <c:v>141.38659065215768</c:v>
                </c:pt>
                <c:pt idx="4">
                  <c:v>123.32214638238881</c:v>
                </c:pt>
                <c:pt idx="5">
                  <c:v>109.98232390425844</c:v>
                </c:pt>
                <c:pt idx="6">
                  <c:v>132.03670899777285</c:v>
                </c:pt>
                <c:pt idx="7">
                  <c:v>110.79037087600653</c:v>
                </c:pt>
                <c:pt idx="8">
                  <c:v>118.13341596518397</c:v>
                </c:pt>
                <c:pt idx="9">
                  <c:v>118.14751773246951</c:v>
                </c:pt>
              </c:numCache>
            </c:numRef>
          </c:val>
          <c:extLst>
            <c:ext xmlns:c16="http://schemas.microsoft.com/office/drawing/2014/chart" uri="{C3380CC4-5D6E-409C-BE32-E72D297353CC}">
              <c16:uniqueId val="{00000002-5EA9-4068-B009-0EB0C708508C}"/>
            </c:ext>
          </c:extLst>
        </c:ser>
        <c:dLbls>
          <c:showLegendKey val="0"/>
          <c:showVal val="0"/>
          <c:showCatName val="0"/>
          <c:showSerName val="0"/>
          <c:showPercent val="0"/>
          <c:showBubbleSize val="0"/>
        </c:dLbls>
        <c:gapWidth val="150"/>
        <c:overlap val="100"/>
        <c:axId val="890541376"/>
        <c:axId val="890543296"/>
      </c:barChart>
      <c:catAx>
        <c:axId val="890541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890543296"/>
        <c:crosses val="autoZero"/>
        <c:auto val="1"/>
        <c:lblAlgn val="ctr"/>
        <c:lblOffset val="100"/>
        <c:noMultiLvlLbl val="0"/>
      </c:catAx>
      <c:valAx>
        <c:axId val="8905432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8905413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t-EE"/>
              <a:t>Lasteaia</a:t>
            </a:r>
            <a:r>
              <a:rPr lang="et-EE" baseline="0"/>
              <a:t> kohamaksumus katteallikate lõikes 2025</a:t>
            </a:r>
            <a:endParaRPr lang="et-E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t-EE"/>
        </a:p>
      </c:txPr>
    </c:title>
    <c:autoTitleDeleted val="0"/>
    <c:plotArea>
      <c:layout/>
      <c:barChart>
        <c:barDir val="col"/>
        <c:grouping val="stacked"/>
        <c:varyColors val="0"/>
        <c:ser>
          <c:idx val="0"/>
          <c:order val="0"/>
          <c:tx>
            <c:strRef>
              <c:f>Alusharidus!$BL$3</c:f>
              <c:strCache>
                <c:ptCount val="1"/>
                <c:pt idx="0">
                  <c:v>KOV</c:v>
                </c:pt>
              </c:strCache>
            </c:strRef>
          </c:tx>
          <c:spPr>
            <a:solidFill>
              <a:schemeClr val="accent1"/>
            </a:solidFill>
            <a:ln>
              <a:noFill/>
            </a:ln>
            <a:effectLst/>
          </c:spPr>
          <c:invertIfNegative val="0"/>
          <c:cat>
            <c:strRef>
              <c:f>(Alusharidus!$A$90:$A$92,Alusharidus!$A$95:$A$97,Alusharidus!$A$100:$A$103)</c:f>
              <c:strCache>
                <c:ptCount val="10"/>
                <c:pt idx="0">
                  <c:v>Keskuslik</c:v>
                </c:pt>
                <c:pt idx="1">
                  <c:v>Keskus-tagamaaline</c:v>
                </c:pt>
                <c:pt idx="2">
                  <c:v>Tagamaaline</c:v>
                </c:pt>
                <c:pt idx="3">
                  <c:v>Tulukas</c:v>
                </c:pt>
                <c:pt idx="4">
                  <c:v>Keskmiselt tulukas</c:v>
                </c:pt>
                <c:pt idx="5">
                  <c:v>Toimetulev</c:v>
                </c:pt>
                <c:pt idx="6">
                  <c:v>&gt;16 000 el</c:v>
                </c:pt>
                <c:pt idx="7">
                  <c:v>8000-15999 el</c:v>
                </c:pt>
                <c:pt idx="8">
                  <c:v>4000-7999 el</c:v>
                </c:pt>
                <c:pt idx="9">
                  <c:v>&lt;4000 el</c:v>
                </c:pt>
              </c:strCache>
            </c:strRef>
          </c:cat>
          <c:val>
            <c:numRef>
              <c:f>(Alusharidus!$BL$90:$BL$92,Alusharidus!$BL$95:$BL$97,Alusharidus!$BL$100:$BL$103)</c:f>
              <c:numCache>
                <c:formatCode>#,##0</c:formatCode>
                <c:ptCount val="10"/>
                <c:pt idx="0">
                  <c:v>550.87020416213556</c:v>
                </c:pt>
                <c:pt idx="1">
                  <c:v>550.66123905330539</c:v>
                </c:pt>
                <c:pt idx="2">
                  <c:v>524.0767745569425</c:v>
                </c:pt>
                <c:pt idx="3">
                  <c:v>584.27104368287064</c:v>
                </c:pt>
                <c:pt idx="4">
                  <c:v>556.34220455669595</c:v>
                </c:pt>
                <c:pt idx="5">
                  <c:v>511.61475711043704</c:v>
                </c:pt>
                <c:pt idx="6">
                  <c:v>558.07791046220018</c:v>
                </c:pt>
                <c:pt idx="7">
                  <c:v>523.10276166893755</c:v>
                </c:pt>
                <c:pt idx="8">
                  <c:v>543.77177155554796</c:v>
                </c:pt>
                <c:pt idx="9">
                  <c:v>572.00641954125524</c:v>
                </c:pt>
              </c:numCache>
            </c:numRef>
          </c:val>
          <c:extLst>
            <c:ext xmlns:c16="http://schemas.microsoft.com/office/drawing/2014/chart" uri="{C3380CC4-5D6E-409C-BE32-E72D297353CC}">
              <c16:uniqueId val="{00000000-E028-44AE-BDF5-2C14E82A4A49}"/>
            </c:ext>
          </c:extLst>
        </c:ser>
        <c:ser>
          <c:idx val="1"/>
          <c:order val="1"/>
          <c:tx>
            <c:strRef>
              <c:f>Alusharidus!$BM$3</c:f>
              <c:strCache>
                <c:ptCount val="1"/>
                <c:pt idx="0">
                  <c:v>Lapsevanemad</c:v>
                </c:pt>
              </c:strCache>
            </c:strRef>
          </c:tx>
          <c:spPr>
            <a:solidFill>
              <a:schemeClr val="accent2"/>
            </a:solidFill>
            <a:ln>
              <a:noFill/>
            </a:ln>
            <a:effectLst/>
          </c:spPr>
          <c:invertIfNegative val="0"/>
          <c:cat>
            <c:strRef>
              <c:f>(Alusharidus!$A$90:$A$92,Alusharidus!$A$95:$A$97,Alusharidus!$A$100:$A$103)</c:f>
              <c:strCache>
                <c:ptCount val="10"/>
                <c:pt idx="0">
                  <c:v>Keskuslik</c:v>
                </c:pt>
                <c:pt idx="1">
                  <c:v>Keskus-tagamaaline</c:v>
                </c:pt>
                <c:pt idx="2">
                  <c:v>Tagamaaline</c:v>
                </c:pt>
                <c:pt idx="3">
                  <c:v>Tulukas</c:v>
                </c:pt>
                <c:pt idx="4">
                  <c:v>Keskmiselt tulukas</c:v>
                </c:pt>
                <c:pt idx="5">
                  <c:v>Toimetulev</c:v>
                </c:pt>
                <c:pt idx="6">
                  <c:v>&gt;16 000 el</c:v>
                </c:pt>
                <c:pt idx="7">
                  <c:v>8000-15999 el</c:v>
                </c:pt>
                <c:pt idx="8">
                  <c:v>4000-7999 el</c:v>
                </c:pt>
                <c:pt idx="9">
                  <c:v>&lt;4000 el</c:v>
                </c:pt>
              </c:strCache>
            </c:strRef>
          </c:cat>
          <c:val>
            <c:numRef>
              <c:f>(Alusharidus!$BM$90:$BM$92,Alusharidus!$BM$95:$BM$97,Alusharidus!$BM$100:$BM$103)</c:f>
              <c:numCache>
                <c:formatCode>0</c:formatCode>
                <c:ptCount val="10"/>
                <c:pt idx="0">
                  <c:v>72.390709182296874</c:v>
                </c:pt>
                <c:pt idx="1">
                  <c:v>73.787840847861148</c:v>
                </c:pt>
                <c:pt idx="2">
                  <c:v>57.57117451043046</c:v>
                </c:pt>
                <c:pt idx="3">
                  <c:v>64.508645917237686</c:v>
                </c:pt>
                <c:pt idx="4">
                  <c:v>87.495672672272192</c:v>
                </c:pt>
                <c:pt idx="5">
                  <c:v>71.956422148505126</c:v>
                </c:pt>
                <c:pt idx="6">
                  <c:v>71.043740844971879</c:v>
                </c:pt>
                <c:pt idx="7">
                  <c:v>72.884790392182097</c:v>
                </c:pt>
                <c:pt idx="8">
                  <c:v>68.98226954645348</c:v>
                </c:pt>
                <c:pt idx="9">
                  <c:v>46.874754521963816</c:v>
                </c:pt>
              </c:numCache>
            </c:numRef>
          </c:val>
          <c:extLst>
            <c:ext xmlns:c16="http://schemas.microsoft.com/office/drawing/2014/chart" uri="{C3380CC4-5D6E-409C-BE32-E72D297353CC}">
              <c16:uniqueId val="{00000001-E028-44AE-BDF5-2C14E82A4A49}"/>
            </c:ext>
          </c:extLst>
        </c:ser>
        <c:ser>
          <c:idx val="2"/>
          <c:order val="2"/>
          <c:tx>
            <c:strRef>
              <c:f>Alusharidus!$BN$3</c:f>
              <c:strCache>
                <c:ptCount val="1"/>
                <c:pt idx="0">
                  <c:v>Teised KOV-id</c:v>
                </c:pt>
              </c:strCache>
            </c:strRef>
          </c:tx>
          <c:spPr>
            <a:solidFill>
              <a:schemeClr val="accent3"/>
            </a:solidFill>
            <a:ln>
              <a:noFill/>
            </a:ln>
            <a:effectLst/>
          </c:spPr>
          <c:invertIfNegative val="0"/>
          <c:cat>
            <c:strRef>
              <c:f>(Alusharidus!$A$90:$A$92,Alusharidus!$A$95:$A$97,Alusharidus!$A$100:$A$103)</c:f>
              <c:strCache>
                <c:ptCount val="10"/>
                <c:pt idx="0">
                  <c:v>Keskuslik</c:v>
                </c:pt>
                <c:pt idx="1">
                  <c:v>Keskus-tagamaaline</c:v>
                </c:pt>
                <c:pt idx="2">
                  <c:v>Tagamaaline</c:v>
                </c:pt>
                <c:pt idx="3">
                  <c:v>Tulukas</c:v>
                </c:pt>
                <c:pt idx="4">
                  <c:v>Keskmiselt tulukas</c:v>
                </c:pt>
                <c:pt idx="5">
                  <c:v>Toimetulev</c:v>
                </c:pt>
                <c:pt idx="6">
                  <c:v>&gt;16 000 el</c:v>
                </c:pt>
                <c:pt idx="7">
                  <c:v>8000-15999 el</c:v>
                </c:pt>
                <c:pt idx="8">
                  <c:v>4000-7999 el</c:v>
                </c:pt>
                <c:pt idx="9">
                  <c:v>&lt;4000 el</c:v>
                </c:pt>
              </c:strCache>
            </c:strRef>
          </c:cat>
          <c:val>
            <c:numRef>
              <c:f>(Alusharidus!$BN$90:$BN$92,Alusharidus!$BN$95:$BN$97,Alusharidus!$BN$100:$BN$103)</c:f>
              <c:numCache>
                <c:formatCode>0</c:formatCode>
                <c:ptCount val="10"/>
                <c:pt idx="0">
                  <c:v>16.759691169965027</c:v>
                </c:pt>
                <c:pt idx="1">
                  <c:v>18.208884099105813</c:v>
                </c:pt>
                <c:pt idx="2">
                  <c:v>36.287056534441035</c:v>
                </c:pt>
                <c:pt idx="3">
                  <c:v>8.7951979666379447</c:v>
                </c:pt>
                <c:pt idx="4">
                  <c:v>31.916058224078583</c:v>
                </c:pt>
                <c:pt idx="5">
                  <c:v>25.269969545566898</c:v>
                </c:pt>
                <c:pt idx="6">
                  <c:v>15.554054517617827</c:v>
                </c:pt>
                <c:pt idx="7">
                  <c:v>24.712261946143858</c:v>
                </c:pt>
                <c:pt idx="8">
                  <c:v>24.346143087218945</c:v>
                </c:pt>
                <c:pt idx="9">
                  <c:v>75.895994832041353</c:v>
                </c:pt>
              </c:numCache>
            </c:numRef>
          </c:val>
          <c:extLst>
            <c:ext xmlns:c16="http://schemas.microsoft.com/office/drawing/2014/chart" uri="{C3380CC4-5D6E-409C-BE32-E72D297353CC}">
              <c16:uniqueId val="{00000002-E028-44AE-BDF5-2C14E82A4A49}"/>
            </c:ext>
          </c:extLst>
        </c:ser>
        <c:ser>
          <c:idx val="3"/>
          <c:order val="3"/>
          <c:tx>
            <c:strRef>
              <c:f>Alusharidus!$BO$3</c:f>
              <c:strCache>
                <c:ptCount val="1"/>
                <c:pt idx="0">
                  <c:v>Toetused jm</c:v>
                </c:pt>
              </c:strCache>
            </c:strRef>
          </c:tx>
          <c:spPr>
            <a:solidFill>
              <a:schemeClr val="accent4"/>
            </a:solidFill>
            <a:ln>
              <a:noFill/>
            </a:ln>
            <a:effectLst/>
          </c:spPr>
          <c:invertIfNegative val="0"/>
          <c:cat>
            <c:strRef>
              <c:f>(Alusharidus!$A$90:$A$92,Alusharidus!$A$95:$A$97,Alusharidus!$A$100:$A$103)</c:f>
              <c:strCache>
                <c:ptCount val="10"/>
                <c:pt idx="0">
                  <c:v>Keskuslik</c:v>
                </c:pt>
                <c:pt idx="1">
                  <c:v>Keskus-tagamaaline</c:v>
                </c:pt>
                <c:pt idx="2">
                  <c:v>Tagamaaline</c:v>
                </c:pt>
                <c:pt idx="3">
                  <c:v>Tulukas</c:v>
                </c:pt>
                <c:pt idx="4">
                  <c:v>Keskmiselt tulukas</c:v>
                </c:pt>
                <c:pt idx="5">
                  <c:v>Toimetulev</c:v>
                </c:pt>
                <c:pt idx="6">
                  <c:v>&gt;16 000 el</c:v>
                </c:pt>
                <c:pt idx="7">
                  <c:v>8000-15999 el</c:v>
                </c:pt>
                <c:pt idx="8">
                  <c:v>4000-7999 el</c:v>
                </c:pt>
                <c:pt idx="9">
                  <c:v>&lt;4000 el</c:v>
                </c:pt>
              </c:strCache>
            </c:strRef>
          </c:cat>
          <c:val>
            <c:numRef>
              <c:f>(Alusharidus!$BO$90:$BO$92,Alusharidus!$BO$95:$BO$97,Alusharidus!$BO$100:$BO$103)</c:f>
              <c:numCache>
                <c:formatCode>#,##0</c:formatCode>
                <c:ptCount val="10"/>
                <c:pt idx="0">
                  <c:v>31.298653229777923</c:v>
                </c:pt>
                <c:pt idx="1">
                  <c:v>28.642890053138249</c:v>
                </c:pt>
                <c:pt idx="2">
                  <c:v>32.994129616104431</c:v>
                </c:pt>
                <c:pt idx="3">
                  <c:v>18.978500250794241</c:v>
                </c:pt>
                <c:pt idx="4">
                  <c:v>35.340401632053215</c:v>
                </c:pt>
                <c:pt idx="5">
                  <c:v>40.31572843473046</c:v>
                </c:pt>
                <c:pt idx="6">
                  <c:v>29.265939114227351</c:v>
                </c:pt>
                <c:pt idx="7">
                  <c:v>32.501390086206939</c:v>
                </c:pt>
                <c:pt idx="8">
                  <c:v>33.973409794539748</c:v>
                </c:pt>
                <c:pt idx="9">
                  <c:v>36.842713178294488</c:v>
                </c:pt>
              </c:numCache>
            </c:numRef>
          </c:val>
          <c:extLst>
            <c:ext xmlns:c16="http://schemas.microsoft.com/office/drawing/2014/chart" uri="{C3380CC4-5D6E-409C-BE32-E72D297353CC}">
              <c16:uniqueId val="{00000003-E028-44AE-BDF5-2C14E82A4A49}"/>
            </c:ext>
          </c:extLst>
        </c:ser>
        <c:dLbls>
          <c:showLegendKey val="0"/>
          <c:showVal val="0"/>
          <c:showCatName val="0"/>
          <c:showSerName val="0"/>
          <c:showPercent val="0"/>
          <c:showBubbleSize val="0"/>
        </c:dLbls>
        <c:gapWidth val="150"/>
        <c:overlap val="100"/>
        <c:axId val="1435896463"/>
        <c:axId val="1209778079"/>
      </c:barChart>
      <c:catAx>
        <c:axId val="14358964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209778079"/>
        <c:crosses val="autoZero"/>
        <c:auto val="1"/>
        <c:lblAlgn val="ctr"/>
        <c:lblOffset val="100"/>
        <c:noMultiLvlLbl val="0"/>
      </c:catAx>
      <c:valAx>
        <c:axId val="120977807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43589646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t-EE"/>
              <a:t>Koolikoha maksumus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t-EE"/>
        </a:p>
      </c:txPr>
    </c:title>
    <c:autoTitleDeleted val="0"/>
    <c:plotArea>
      <c:layout/>
      <c:scatterChart>
        <c:scatterStyle val="lineMarker"/>
        <c:varyColors val="0"/>
        <c:ser>
          <c:idx val="0"/>
          <c:order val="0"/>
          <c:spPr>
            <a:ln w="28575" cap="rnd">
              <a:noFill/>
              <a:round/>
            </a:ln>
            <a:effectLst/>
          </c:spPr>
          <c:marker>
            <c:symbol val="circle"/>
            <c:size val="5"/>
            <c:spPr>
              <a:solidFill>
                <a:schemeClr val="accent1"/>
              </a:solidFill>
              <a:ln w="9525">
                <a:solidFill>
                  <a:schemeClr val="accent1"/>
                </a:solidFill>
              </a:ln>
              <a:effectLst/>
            </c:spPr>
          </c:marker>
          <c:dLbls>
            <c:dLbl>
              <c:idx val="0"/>
              <c:tx>
                <c:rich>
                  <a:bodyPr/>
                  <a:lstStyle/>
                  <a:p>
                    <a:fld id="{A8DC514C-879E-41B5-8E7C-EA4CA6B0EC04}"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4AF9-44EA-8F57-E384EA92334C}"/>
                </c:ext>
              </c:extLst>
            </c:dLbl>
            <c:dLbl>
              <c:idx val="1"/>
              <c:tx>
                <c:rich>
                  <a:bodyPr/>
                  <a:lstStyle/>
                  <a:p>
                    <a:fld id="{32BDF8AE-FE12-4B30-ADEF-DA752591DAA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4AF9-44EA-8F57-E384EA92334C}"/>
                </c:ext>
              </c:extLst>
            </c:dLbl>
            <c:dLbl>
              <c:idx val="2"/>
              <c:tx>
                <c:rich>
                  <a:bodyPr/>
                  <a:lstStyle/>
                  <a:p>
                    <a:fld id="{E74B722D-36D6-470A-BD30-59DC960D1DF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4AF9-44EA-8F57-E384EA92334C}"/>
                </c:ext>
              </c:extLst>
            </c:dLbl>
            <c:dLbl>
              <c:idx val="3"/>
              <c:tx>
                <c:rich>
                  <a:bodyPr/>
                  <a:lstStyle/>
                  <a:p>
                    <a:fld id="{E5D27293-34C6-4660-A1AE-C64C0E208D5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4AF9-44EA-8F57-E384EA92334C}"/>
                </c:ext>
              </c:extLst>
            </c:dLbl>
            <c:dLbl>
              <c:idx val="4"/>
              <c:tx>
                <c:rich>
                  <a:bodyPr/>
                  <a:lstStyle/>
                  <a:p>
                    <a:fld id="{1DFBDDAE-F3BA-4F60-957E-1DF19797FB6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4AF9-44EA-8F57-E384EA92334C}"/>
                </c:ext>
              </c:extLst>
            </c:dLbl>
            <c:dLbl>
              <c:idx val="5"/>
              <c:tx>
                <c:rich>
                  <a:bodyPr/>
                  <a:lstStyle/>
                  <a:p>
                    <a:fld id="{78205A2A-26EE-410F-8F6F-A218E346C86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4AF9-44EA-8F57-E384EA92334C}"/>
                </c:ext>
              </c:extLst>
            </c:dLbl>
            <c:dLbl>
              <c:idx val="6"/>
              <c:tx>
                <c:rich>
                  <a:bodyPr/>
                  <a:lstStyle/>
                  <a:p>
                    <a:fld id="{465B1D2E-5D27-4CDB-A8DD-9ABFD486E5C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4AF9-44EA-8F57-E384EA92334C}"/>
                </c:ext>
              </c:extLst>
            </c:dLbl>
            <c:dLbl>
              <c:idx val="7"/>
              <c:tx>
                <c:rich>
                  <a:bodyPr/>
                  <a:lstStyle/>
                  <a:p>
                    <a:fld id="{523F8580-5EF8-43F9-9FD6-27E4AEE2977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4AF9-44EA-8F57-E384EA92334C}"/>
                </c:ext>
              </c:extLst>
            </c:dLbl>
            <c:dLbl>
              <c:idx val="8"/>
              <c:tx>
                <c:rich>
                  <a:bodyPr/>
                  <a:lstStyle/>
                  <a:p>
                    <a:fld id="{A539A8DA-2E97-42F9-AFA7-920442C20F7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4AF9-44EA-8F57-E384EA92334C}"/>
                </c:ext>
              </c:extLst>
            </c:dLbl>
            <c:dLbl>
              <c:idx val="9"/>
              <c:tx>
                <c:rich>
                  <a:bodyPr/>
                  <a:lstStyle/>
                  <a:p>
                    <a:fld id="{2BA25D68-54E7-419B-BF58-50542234BAA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4AF9-44EA-8F57-E384EA92334C}"/>
                </c:ext>
              </c:extLst>
            </c:dLbl>
            <c:dLbl>
              <c:idx val="10"/>
              <c:tx>
                <c:rich>
                  <a:bodyPr/>
                  <a:lstStyle/>
                  <a:p>
                    <a:fld id="{F3750D0E-7EBB-47FC-A90F-03A348C9EB9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4AF9-44EA-8F57-E384EA92334C}"/>
                </c:ext>
              </c:extLst>
            </c:dLbl>
            <c:dLbl>
              <c:idx val="11"/>
              <c:tx>
                <c:rich>
                  <a:bodyPr/>
                  <a:lstStyle/>
                  <a:p>
                    <a:fld id="{FB280FD0-9967-44CA-A0B0-E631D03716B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4AF9-44EA-8F57-E384EA92334C}"/>
                </c:ext>
              </c:extLst>
            </c:dLbl>
            <c:dLbl>
              <c:idx val="12"/>
              <c:tx>
                <c:rich>
                  <a:bodyPr/>
                  <a:lstStyle/>
                  <a:p>
                    <a:fld id="{8EAA3347-4E59-4A2B-A7AF-3111A2F095C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4AF9-44EA-8F57-E384EA92334C}"/>
                </c:ext>
              </c:extLst>
            </c:dLbl>
            <c:dLbl>
              <c:idx val="13"/>
              <c:tx>
                <c:rich>
                  <a:bodyPr/>
                  <a:lstStyle/>
                  <a:p>
                    <a:fld id="{A8DD3318-A5C4-4F2B-98F1-04BF6B8FA5B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4AF9-44EA-8F57-E384EA92334C}"/>
                </c:ext>
              </c:extLst>
            </c:dLbl>
            <c:dLbl>
              <c:idx val="14"/>
              <c:tx>
                <c:rich>
                  <a:bodyPr/>
                  <a:lstStyle/>
                  <a:p>
                    <a:fld id="{E4EB4150-0977-49B1-899E-D598C265F37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4AF9-44EA-8F57-E384EA92334C}"/>
                </c:ext>
              </c:extLst>
            </c:dLbl>
            <c:dLbl>
              <c:idx val="15"/>
              <c:tx>
                <c:rich>
                  <a:bodyPr/>
                  <a:lstStyle/>
                  <a:p>
                    <a:fld id="{B7AE23DE-E2EA-4215-9B5A-2D2E963B506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4AF9-44EA-8F57-E384EA92334C}"/>
                </c:ext>
              </c:extLst>
            </c:dLbl>
            <c:dLbl>
              <c:idx val="16"/>
              <c:tx>
                <c:rich>
                  <a:bodyPr/>
                  <a:lstStyle/>
                  <a:p>
                    <a:fld id="{502C0230-EE85-45EB-8247-4577EBA3811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4AF9-44EA-8F57-E384EA92334C}"/>
                </c:ext>
              </c:extLst>
            </c:dLbl>
            <c:dLbl>
              <c:idx val="17"/>
              <c:tx>
                <c:rich>
                  <a:bodyPr/>
                  <a:lstStyle/>
                  <a:p>
                    <a:fld id="{C504B2FB-B096-4FAC-9B48-3923B90C20B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4AF9-44EA-8F57-E384EA92334C}"/>
                </c:ext>
              </c:extLst>
            </c:dLbl>
            <c:dLbl>
              <c:idx val="18"/>
              <c:tx>
                <c:rich>
                  <a:bodyPr/>
                  <a:lstStyle/>
                  <a:p>
                    <a:fld id="{1E39D9F2-A556-49F1-BE36-B43088DC2B1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4AF9-44EA-8F57-E384EA92334C}"/>
                </c:ext>
              </c:extLst>
            </c:dLbl>
            <c:dLbl>
              <c:idx val="19"/>
              <c:tx>
                <c:rich>
                  <a:bodyPr/>
                  <a:lstStyle/>
                  <a:p>
                    <a:fld id="{AE260CB9-9154-462F-8D9E-91261E0DFE1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4AF9-44EA-8F57-E384EA92334C}"/>
                </c:ext>
              </c:extLst>
            </c:dLbl>
            <c:dLbl>
              <c:idx val="20"/>
              <c:tx>
                <c:rich>
                  <a:bodyPr/>
                  <a:lstStyle/>
                  <a:p>
                    <a:fld id="{BCBE6B40-7157-4CF7-A2B7-93ADE3D8A09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4AF9-44EA-8F57-E384EA92334C}"/>
                </c:ext>
              </c:extLst>
            </c:dLbl>
            <c:dLbl>
              <c:idx val="21"/>
              <c:tx>
                <c:rich>
                  <a:bodyPr/>
                  <a:lstStyle/>
                  <a:p>
                    <a:fld id="{638255D0-B3A7-4661-A4F4-640D9471474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4AF9-44EA-8F57-E384EA92334C}"/>
                </c:ext>
              </c:extLst>
            </c:dLbl>
            <c:dLbl>
              <c:idx val="22"/>
              <c:tx>
                <c:rich>
                  <a:bodyPr/>
                  <a:lstStyle/>
                  <a:p>
                    <a:fld id="{BB40F97C-CCF6-4D3F-BCD1-DBED0CBFCC9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4AF9-44EA-8F57-E384EA92334C}"/>
                </c:ext>
              </c:extLst>
            </c:dLbl>
            <c:dLbl>
              <c:idx val="23"/>
              <c:tx>
                <c:rich>
                  <a:bodyPr/>
                  <a:lstStyle/>
                  <a:p>
                    <a:fld id="{A84D4921-ACA8-46F4-BC63-0345234655E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4AF9-44EA-8F57-E384EA92334C}"/>
                </c:ext>
              </c:extLst>
            </c:dLbl>
            <c:dLbl>
              <c:idx val="24"/>
              <c:tx>
                <c:rich>
                  <a:bodyPr/>
                  <a:lstStyle/>
                  <a:p>
                    <a:fld id="{8B57E878-16B5-4977-81D1-8AE9FA7EEAB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4AF9-44EA-8F57-E384EA92334C}"/>
                </c:ext>
              </c:extLst>
            </c:dLbl>
            <c:dLbl>
              <c:idx val="25"/>
              <c:tx>
                <c:rich>
                  <a:bodyPr/>
                  <a:lstStyle/>
                  <a:p>
                    <a:fld id="{A1AFD388-2230-461C-809D-943E7191941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4AF9-44EA-8F57-E384EA92334C}"/>
                </c:ext>
              </c:extLst>
            </c:dLbl>
            <c:dLbl>
              <c:idx val="26"/>
              <c:tx>
                <c:rich>
                  <a:bodyPr/>
                  <a:lstStyle/>
                  <a:p>
                    <a:fld id="{30E8C1B8-3E4D-468D-82CA-6BB19AB7955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4AF9-44EA-8F57-E384EA92334C}"/>
                </c:ext>
              </c:extLst>
            </c:dLbl>
            <c:dLbl>
              <c:idx val="27"/>
              <c:tx>
                <c:rich>
                  <a:bodyPr/>
                  <a:lstStyle/>
                  <a:p>
                    <a:fld id="{68730102-0DA1-4C1A-AE23-EC02223221F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4AF9-44EA-8F57-E384EA92334C}"/>
                </c:ext>
              </c:extLst>
            </c:dLbl>
            <c:dLbl>
              <c:idx val="28"/>
              <c:tx>
                <c:rich>
                  <a:bodyPr/>
                  <a:lstStyle/>
                  <a:p>
                    <a:fld id="{4EE84797-A476-4F83-9A57-C7AD0E604CB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4AF9-44EA-8F57-E384EA92334C}"/>
                </c:ext>
              </c:extLst>
            </c:dLbl>
            <c:dLbl>
              <c:idx val="29"/>
              <c:tx>
                <c:rich>
                  <a:bodyPr/>
                  <a:lstStyle/>
                  <a:p>
                    <a:fld id="{B313E9F8-BE90-4CF4-97C1-C0CA4D58C47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4AF9-44EA-8F57-E384EA92334C}"/>
                </c:ext>
              </c:extLst>
            </c:dLbl>
            <c:dLbl>
              <c:idx val="30"/>
              <c:tx>
                <c:rich>
                  <a:bodyPr/>
                  <a:lstStyle/>
                  <a:p>
                    <a:fld id="{347422E8-04AE-4B64-9EBD-4F787EC003D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4AF9-44EA-8F57-E384EA92334C}"/>
                </c:ext>
              </c:extLst>
            </c:dLbl>
            <c:dLbl>
              <c:idx val="31"/>
              <c:tx>
                <c:rich>
                  <a:bodyPr/>
                  <a:lstStyle/>
                  <a:p>
                    <a:fld id="{621819D6-AF7B-4759-9075-380D30D5F90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4AF9-44EA-8F57-E384EA92334C}"/>
                </c:ext>
              </c:extLst>
            </c:dLbl>
            <c:dLbl>
              <c:idx val="32"/>
              <c:tx>
                <c:rich>
                  <a:bodyPr/>
                  <a:lstStyle/>
                  <a:p>
                    <a:fld id="{F476B011-2A8E-42B5-BB03-EC2CE3D4BE1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4AF9-44EA-8F57-E384EA92334C}"/>
                </c:ext>
              </c:extLst>
            </c:dLbl>
            <c:dLbl>
              <c:idx val="33"/>
              <c:tx>
                <c:rich>
                  <a:bodyPr/>
                  <a:lstStyle/>
                  <a:p>
                    <a:fld id="{8AC5E443-5982-4F16-8373-76CC5B041FB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4AF9-44EA-8F57-E384EA92334C}"/>
                </c:ext>
              </c:extLst>
            </c:dLbl>
            <c:dLbl>
              <c:idx val="34"/>
              <c:tx>
                <c:rich>
                  <a:bodyPr/>
                  <a:lstStyle/>
                  <a:p>
                    <a:fld id="{25E6B1E5-EDA5-4454-9278-9F2B391F580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4AF9-44EA-8F57-E384EA92334C}"/>
                </c:ext>
              </c:extLst>
            </c:dLbl>
            <c:dLbl>
              <c:idx val="35"/>
              <c:tx>
                <c:rich>
                  <a:bodyPr/>
                  <a:lstStyle/>
                  <a:p>
                    <a:fld id="{F965F3F2-0E44-40D6-A678-B06C5686C5E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3-4AF9-44EA-8F57-E384EA92334C}"/>
                </c:ext>
              </c:extLst>
            </c:dLbl>
            <c:dLbl>
              <c:idx val="36"/>
              <c:tx>
                <c:rich>
                  <a:bodyPr/>
                  <a:lstStyle/>
                  <a:p>
                    <a:fld id="{62E28502-021D-4FCD-BF32-6384CB570F7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4-4AF9-44EA-8F57-E384EA92334C}"/>
                </c:ext>
              </c:extLst>
            </c:dLbl>
            <c:dLbl>
              <c:idx val="37"/>
              <c:tx>
                <c:rich>
                  <a:bodyPr/>
                  <a:lstStyle/>
                  <a:p>
                    <a:fld id="{A14ED303-5D86-49EE-AADF-DE51D174107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5-4AF9-44EA-8F57-E384EA92334C}"/>
                </c:ext>
              </c:extLst>
            </c:dLbl>
            <c:dLbl>
              <c:idx val="38"/>
              <c:tx>
                <c:rich>
                  <a:bodyPr/>
                  <a:lstStyle/>
                  <a:p>
                    <a:fld id="{119CEF01-8933-4C20-B4D9-E6026696176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6-4AF9-44EA-8F57-E384EA92334C}"/>
                </c:ext>
              </c:extLst>
            </c:dLbl>
            <c:dLbl>
              <c:idx val="39"/>
              <c:tx>
                <c:rich>
                  <a:bodyPr/>
                  <a:lstStyle/>
                  <a:p>
                    <a:fld id="{FD3837C7-176D-43A9-AE2C-6DACE27C8CF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7-4AF9-44EA-8F57-E384EA92334C}"/>
                </c:ext>
              </c:extLst>
            </c:dLbl>
            <c:dLbl>
              <c:idx val="40"/>
              <c:tx>
                <c:rich>
                  <a:bodyPr/>
                  <a:lstStyle/>
                  <a:p>
                    <a:fld id="{41804A22-6DA8-4050-8491-41FCAA42A0E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8-4AF9-44EA-8F57-E384EA92334C}"/>
                </c:ext>
              </c:extLst>
            </c:dLbl>
            <c:dLbl>
              <c:idx val="41"/>
              <c:tx>
                <c:rich>
                  <a:bodyPr/>
                  <a:lstStyle/>
                  <a:p>
                    <a:fld id="{8AEB1958-A6BA-43B9-842F-883890DF2B1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9-4AF9-44EA-8F57-E384EA92334C}"/>
                </c:ext>
              </c:extLst>
            </c:dLbl>
            <c:dLbl>
              <c:idx val="42"/>
              <c:tx>
                <c:rich>
                  <a:bodyPr/>
                  <a:lstStyle/>
                  <a:p>
                    <a:fld id="{4CDF7558-8B7F-45A1-AF2A-0BB0CBD2D19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A-4AF9-44EA-8F57-E384EA92334C}"/>
                </c:ext>
              </c:extLst>
            </c:dLbl>
            <c:dLbl>
              <c:idx val="43"/>
              <c:tx>
                <c:rich>
                  <a:bodyPr/>
                  <a:lstStyle/>
                  <a:p>
                    <a:fld id="{A6AE54BF-DE1A-446F-96D1-3B06225949E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B-4AF9-44EA-8F57-E384EA92334C}"/>
                </c:ext>
              </c:extLst>
            </c:dLbl>
            <c:dLbl>
              <c:idx val="44"/>
              <c:tx>
                <c:rich>
                  <a:bodyPr/>
                  <a:lstStyle/>
                  <a:p>
                    <a:fld id="{9852C0AF-0E91-4DD6-AB7B-4CC1D63CA3A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C-4AF9-44EA-8F57-E384EA92334C}"/>
                </c:ext>
              </c:extLst>
            </c:dLbl>
            <c:dLbl>
              <c:idx val="45"/>
              <c:tx>
                <c:rich>
                  <a:bodyPr/>
                  <a:lstStyle/>
                  <a:p>
                    <a:fld id="{DC911BFA-1A02-44CF-93BD-A2AF7B29E28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D-4AF9-44EA-8F57-E384EA92334C}"/>
                </c:ext>
              </c:extLst>
            </c:dLbl>
            <c:dLbl>
              <c:idx val="46"/>
              <c:tx>
                <c:rich>
                  <a:bodyPr/>
                  <a:lstStyle/>
                  <a:p>
                    <a:fld id="{E748F612-8F39-4DCE-816C-FE2652D3D92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E-4AF9-44EA-8F57-E384EA92334C}"/>
                </c:ext>
              </c:extLst>
            </c:dLbl>
            <c:dLbl>
              <c:idx val="47"/>
              <c:tx>
                <c:rich>
                  <a:bodyPr/>
                  <a:lstStyle/>
                  <a:p>
                    <a:fld id="{814C991D-64D2-401C-883F-3DE3578A059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F-4AF9-44EA-8F57-E384EA92334C}"/>
                </c:ext>
              </c:extLst>
            </c:dLbl>
            <c:dLbl>
              <c:idx val="48"/>
              <c:tx>
                <c:rich>
                  <a:bodyPr/>
                  <a:lstStyle/>
                  <a:p>
                    <a:fld id="{0FBA21EA-87EA-435D-AED8-A80CECAF4AE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0-4AF9-44EA-8F57-E384EA92334C}"/>
                </c:ext>
              </c:extLst>
            </c:dLbl>
            <c:dLbl>
              <c:idx val="49"/>
              <c:tx>
                <c:rich>
                  <a:bodyPr/>
                  <a:lstStyle/>
                  <a:p>
                    <a:fld id="{9FAE79A9-8ED6-4581-BD06-48BD7253866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1-4AF9-44EA-8F57-E384EA92334C}"/>
                </c:ext>
              </c:extLst>
            </c:dLbl>
            <c:dLbl>
              <c:idx val="50"/>
              <c:tx>
                <c:rich>
                  <a:bodyPr/>
                  <a:lstStyle/>
                  <a:p>
                    <a:fld id="{031FBCED-75D5-4C0D-BCAB-DB83D4847C0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2-4AF9-44EA-8F57-E384EA92334C}"/>
                </c:ext>
              </c:extLst>
            </c:dLbl>
            <c:dLbl>
              <c:idx val="51"/>
              <c:tx>
                <c:rich>
                  <a:bodyPr/>
                  <a:lstStyle/>
                  <a:p>
                    <a:fld id="{249E0F25-81C4-4A67-85F2-470140B351A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3-4AF9-44EA-8F57-E384EA92334C}"/>
                </c:ext>
              </c:extLst>
            </c:dLbl>
            <c:dLbl>
              <c:idx val="52"/>
              <c:tx>
                <c:rich>
                  <a:bodyPr/>
                  <a:lstStyle/>
                  <a:p>
                    <a:fld id="{2023C205-B4A6-401D-95F9-F64B94740C7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4-4AF9-44EA-8F57-E384EA92334C}"/>
                </c:ext>
              </c:extLst>
            </c:dLbl>
            <c:dLbl>
              <c:idx val="53"/>
              <c:tx>
                <c:rich>
                  <a:bodyPr/>
                  <a:lstStyle/>
                  <a:p>
                    <a:fld id="{06722595-F085-4D45-A5D3-15DC898B4B9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5-4AF9-44EA-8F57-E384EA92334C}"/>
                </c:ext>
              </c:extLst>
            </c:dLbl>
            <c:dLbl>
              <c:idx val="54"/>
              <c:tx>
                <c:rich>
                  <a:bodyPr/>
                  <a:lstStyle/>
                  <a:p>
                    <a:fld id="{FF59F6E5-655B-4C22-934E-013D1190C55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6-4AF9-44EA-8F57-E384EA92334C}"/>
                </c:ext>
              </c:extLst>
            </c:dLbl>
            <c:dLbl>
              <c:idx val="55"/>
              <c:tx>
                <c:rich>
                  <a:bodyPr/>
                  <a:lstStyle/>
                  <a:p>
                    <a:fld id="{718CF0AB-63C2-4472-BA60-8FF948BC019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7-4AF9-44EA-8F57-E384EA92334C}"/>
                </c:ext>
              </c:extLst>
            </c:dLbl>
            <c:dLbl>
              <c:idx val="56"/>
              <c:tx>
                <c:rich>
                  <a:bodyPr/>
                  <a:lstStyle/>
                  <a:p>
                    <a:fld id="{D5B25112-BB0D-4E98-A30D-4F59759C4E7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8-4AF9-44EA-8F57-E384EA92334C}"/>
                </c:ext>
              </c:extLst>
            </c:dLbl>
            <c:dLbl>
              <c:idx val="57"/>
              <c:tx>
                <c:rich>
                  <a:bodyPr/>
                  <a:lstStyle/>
                  <a:p>
                    <a:fld id="{2BFC09B0-A131-47D9-9AF4-A1D9D8C79C7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9-4AF9-44EA-8F57-E384EA92334C}"/>
                </c:ext>
              </c:extLst>
            </c:dLbl>
            <c:dLbl>
              <c:idx val="58"/>
              <c:tx>
                <c:rich>
                  <a:bodyPr/>
                  <a:lstStyle/>
                  <a:p>
                    <a:fld id="{9286690A-00ED-4E0D-AC78-652216C3B65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A-4AF9-44EA-8F57-E384EA92334C}"/>
                </c:ext>
              </c:extLst>
            </c:dLbl>
            <c:dLbl>
              <c:idx val="59"/>
              <c:tx>
                <c:rich>
                  <a:bodyPr/>
                  <a:lstStyle/>
                  <a:p>
                    <a:fld id="{7C5C9418-4683-487B-8FFB-B0775A1E503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B-4AF9-44EA-8F57-E384EA92334C}"/>
                </c:ext>
              </c:extLst>
            </c:dLbl>
            <c:dLbl>
              <c:idx val="60"/>
              <c:tx>
                <c:rich>
                  <a:bodyPr/>
                  <a:lstStyle/>
                  <a:p>
                    <a:fld id="{B14F57DA-C626-4C94-A690-B1B5F2FA927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C-4AF9-44EA-8F57-E384EA92334C}"/>
                </c:ext>
              </c:extLst>
            </c:dLbl>
            <c:dLbl>
              <c:idx val="61"/>
              <c:tx>
                <c:rich>
                  <a:bodyPr/>
                  <a:lstStyle/>
                  <a:p>
                    <a:fld id="{6B224854-71CA-43B7-9C11-D9215646A45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D-4AF9-44EA-8F57-E384EA92334C}"/>
                </c:ext>
              </c:extLst>
            </c:dLbl>
            <c:dLbl>
              <c:idx val="62"/>
              <c:tx>
                <c:rich>
                  <a:bodyPr/>
                  <a:lstStyle/>
                  <a:p>
                    <a:fld id="{D07D8C82-3AAC-4933-A7CF-FFDB67CDF7C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E-4AF9-44EA-8F57-E384EA92334C}"/>
                </c:ext>
              </c:extLst>
            </c:dLbl>
            <c:dLbl>
              <c:idx val="63"/>
              <c:tx>
                <c:rich>
                  <a:bodyPr/>
                  <a:lstStyle/>
                  <a:p>
                    <a:fld id="{3746F83E-B8D3-476A-95EF-2129C6FFC9B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F-4AF9-44EA-8F57-E384EA92334C}"/>
                </c:ext>
              </c:extLst>
            </c:dLbl>
            <c:dLbl>
              <c:idx val="64"/>
              <c:tx>
                <c:rich>
                  <a:bodyPr/>
                  <a:lstStyle/>
                  <a:p>
                    <a:fld id="{641648D6-0846-44AD-9207-035253350D9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0-4AF9-44EA-8F57-E384EA92334C}"/>
                </c:ext>
              </c:extLst>
            </c:dLbl>
            <c:dLbl>
              <c:idx val="65"/>
              <c:tx>
                <c:rich>
                  <a:bodyPr/>
                  <a:lstStyle/>
                  <a:p>
                    <a:fld id="{AE0E15D6-7C8A-404C-8D8B-B79FB00C329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1-4AF9-44EA-8F57-E384EA92334C}"/>
                </c:ext>
              </c:extLst>
            </c:dLbl>
            <c:dLbl>
              <c:idx val="66"/>
              <c:tx>
                <c:rich>
                  <a:bodyPr/>
                  <a:lstStyle/>
                  <a:p>
                    <a:fld id="{1F6C66EC-A2D7-4A6E-9140-AAFEECC59DC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2-4AF9-44EA-8F57-E384EA92334C}"/>
                </c:ext>
              </c:extLst>
            </c:dLbl>
            <c:dLbl>
              <c:idx val="67"/>
              <c:tx>
                <c:rich>
                  <a:bodyPr/>
                  <a:lstStyle/>
                  <a:p>
                    <a:fld id="{0E47C1A9-C26D-471D-85FF-B0A9EA37A0E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3-4AF9-44EA-8F57-E384EA92334C}"/>
                </c:ext>
              </c:extLst>
            </c:dLbl>
            <c:dLbl>
              <c:idx val="68"/>
              <c:tx>
                <c:rich>
                  <a:bodyPr/>
                  <a:lstStyle/>
                  <a:p>
                    <a:fld id="{3DC375F0-961F-4B33-82EE-F24F992D3E1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4-4AF9-44EA-8F57-E384EA92334C}"/>
                </c:ext>
              </c:extLst>
            </c:dLbl>
            <c:dLbl>
              <c:idx val="69"/>
              <c:tx>
                <c:rich>
                  <a:bodyPr/>
                  <a:lstStyle/>
                  <a:p>
                    <a:fld id="{772A55B2-9432-47CB-B007-5BD8E7CD12E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5-4AF9-44EA-8F57-E384EA92334C}"/>
                </c:ext>
              </c:extLst>
            </c:dLbl>
            <c:dLbl>
              <c:idx val="70"/>
              <c:tx>
                <c:rich>
                  <a:bodyPr/>
                  <a:lstStyle/>
                  <a:p>
                    <a:fld id="{B1FED2F4-B7B6-421D-BECE-A95AD1AF2F3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6-4AF9-44EA-8F57-E384EA92334C}"/>
                </c:ext>
              </c:extLst>
            </c:dLbl>
            <c:dLbl>
              <c:idx val="71"/>
              <c:tx>
                <c:rich>
                  <a:bodyPr/>
                  <a:lstStyle/>
                  <a:p>
                    <a:fld id="{F1A31DF3-CF84-43A3-9673-87018C176A5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7-4AF9-44EA-8F57-E384EA92334C}"/>
                </c:ext>
              </c:extLst>
            </c:dLbl>
            <c:dLbl>
              <c:idx val="72"/>
              <c:tx>
                <c:rich>
                  <a:bodyPr/>
                  <a:lstStyle/>
                  <a:p>
                    <a:fld id="{4E802196-5290-49B4-BB20-37A68A932AF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8-4AF9-44EA-8F57-E384EA92334C}"/>
                </c:ext>
              </c:extLst>
            </c:dLbl>
            <c:dLbl>
              <c:idx val="73"/>
              <c:tx>
                <c:rich>
                  <a:bodyPr/>
                  <a:lstStyle/>
                  <a:p>
                    <a:fld id="{2BF0A1CC-666E-443A-A9AF-7C422F57FE1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9-4AF9-44EA-8F57-E384EA92334C}"/>
                </c:ext>
              </c:extLst>
            </c:dLbl>
            <c:dLbl>
              <c:idx val="74"/>
              <c:tx>
                <c:rich>
                  <a:bodyPr/>
                  <a:lstStyle/>
                  <a:p>
                    <a:fld id="{24ED4826-6F05-4246-B750-F4782BAB073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A-4AF9-44EA-8F57-E384EA92334C}"/>
                </c:ext>
              </c:extLst>
            </c:dLbl>
            <c:dLbl>
              <c:idx val="75"/>
              <c:tx>
                <c:rich>
                  <a:bodyPr/>
                  <a:lstStyle/>
                  <a:p>
                    <a:fld id="{D86CD32E-8A58-427F-B014-7B5E8833623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B-4AF9-44EA-8F57-E384EA92334C}"/>
                </c:ext>
              </c:extLst>
            </c:dLbl>
            <c:dLbl>
              <c:idx val="76"/>
              <c:tx>
                <c:rich>
                  <a:bodyPr/>
                  <a:lstStyle/>
                  <a:p>
                    <a:fld id="{7A61C9D1-B89C-49EC-9843-E46274DFB13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C-4AF9-44EA-8F57-E384EA92334C}"/>
                </c:ext>
              </c:extLst>
            </c:dLbl>
            <c:dLbl>
              <c:idx val="77"/>
              <c:tx>
                <c:rich>
                  <a:bodyPr/>
                  <a:lstStyle/>
                  <a:p>
                    <a:fld id="{92A5D4C3-A44C-49F0-953F-9B18DEE3AF1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D-4AF9-44EA-8F57-E384EA92334C}"/>
                </c:ext>
              </c:extLst>
            </c:dLbl>
            <c:dLbl>
              <c:idx val="78"/>
              <c:tx>
                <c:rich>
                  <a:bodyPr/>
                  <a:lstStyle/>
                  <a:p>
                    <a:fld id="{414340D5-FDE6-4C06-8E30-E914AF80FD5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E-4AF9-44EA-8F57-E384EA92334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Kool!$BJ$4:$BJ$82</c:f>
              <c:numCache>
                <c:formatCode>#,##0</c:formatCode>
                <c:ptCount val="79"/>
                <c:pt idx="0">
                  <c:v>433.80001617892322</c:v>
                </c:pt>
                <c:pt idx="1">
                  <c:v>553.66878266994047</c:v>
                </c:pt>
                <c:pt idx="2">
                  <c:v>497.32682746884393</c:v>
                </c:pt>
                <c:pt idx="3">
                  <c:v>563.09212138508371</c:v>
                </c:pt>
                <c:pt idx="4">
                  <c:v>435.0020322085889</c:v>
                </c:pt>
                <c:pt idx="5">
                  <c:v>462.60622571616727</c:v>
                </c:pt>
                <c:pt idx="6">
                  <c:v>465.9734016518812</c:v>
                </c:pt>
                <c:pt idx="7">
                  <c:v>529.28726087848918</c:v>
                </c:pt>
                <c:pt idx="8">
                  <c:v>686.33800867507887</c:v>
                </c:pt>
                <c:pt idx="9">
                  <c:v>418.04074375931441</c:v>
                </c:pt>
                <c:pt idx="10">
                  <c:v>573.20807168550891</c:v>
                </c:pt>
                <c:pt idx="11">
                  <c:v>508.42710342862159</c:v>
                </c:pt>
                <c:pt idx="12">
                  <c:v>521.13884666548427</c:v>
                </c:pt>
                <c:pt idx="13">
                  <c:v>501.0711868361762</c:v>
                </c:pt>
                <c:pt idx="14">
                  <c:v>544.11862672591189</c:v>
                </c:pt>
                <c:pt idx="15">
                  <c:v>701.01575359175933</c:v>
                </c:pt>
                <c:pt idx="16">
                  <c:v>675.99847453222435</c:v>
                </c:pt>
                <c:pt idx="17">
                  <c:v>518.86610579796786</c:v>
                </c:pt>
                <c:pt idx="18">
                  <c:v>532.4456681479129</c:v>
                </c:pt>
                <c:pt idx="19">
                  <c:v>1349.8259793814432</c:v>
                </c:pt>
                <c:pt idx="20">
                  <c:v>466.22630299896582</c:v>
                </c:pt>
                <c:pt idx="21">
                  <c:v>807.59429450072378</c:v>
                </c:pt>
                <c:pt idx="22">
                  <c:v>593.51173017824226</c:v>
                </c:pt>
                <c:pt idx="23">
                  <c:v>734.03530519480535</c:v>
                </c:pt>
                <c:pt idx="24">
                  <c:v>1080.6741692327489</c:v>
                </c:pt>
                <c:pt idx="25">
                  <c:v>446.81300287356322</c:v>
                </c:pt>
                <c:pt idx="26">
                  <c:v>619.7442486250402</c:v>
                </c:pt>
                <c:pt idx="27">
                  <c:v>558.32952610679115</c:v>
                </c:pt>
                <c:pt idx="28">
                  <c:v>509.70035844299446</c:v>
                </c:pt>
                <c:pt idx="29">
                  <c:v>484.34690780335399</c:v>
                </c:pt>
                <c:pt idx="30">
                  <c:v>750.14093061224492</c:v>
                </c:pt>
                <c:pt idx="31">
                  <c:v>518.42676957619983</c:v>
                </c:pt>
                <c:pt idx="32">
                  <c:v>1678.1053732468151</c:v>
                </c:pt>
                <c:pt idx="33">
                  <c:v>553.74979226655694</c:v>
                </c:pt>
                <c:pt idx="34">
                  <c:v>659.95859391395595</c:v>
                </c:pt>
                <c:pt idx="35">
                  <c:v>452.01865098871741</c:v>
                </c:pt>
                <c:pt idx="36">
                  <c:v>459.14619567533026</c:v>
                </c:pt>
                <c:pt idx="37">
                  <c:v>723.58416666666653</c:v>
                </c:pt>
                <c:pt idx="38">
                  <c:v>540.37320898540531</c:v>
                </c:pt>
                <c:pt idx="39">
                  <c:v>576.75106630757216</c:v>
                </c:pt>
                <c:pt idx="40">
                  <c:v>606.51479783393518</c:v>
                </c:pt>
                <c:pt idx="41">
                  <c:v>556.21755127046697</c:v>
                </c:pt>
                <c:pt idx="42">
                  <c:v>606.03536097212293</c:v>
                </c:pt>
                <c:pt idx="43">
                  <c:v>1102.9295882352942</c:v>
                </c:pt>
                <c:pt idx="44">
                  <c:v>703.13744304312456</c:v>
                </c:pt>
                <c:pt idx="45">
                  <c:v>426.29264518498263</c:v>
                </c:pt>
                <c:pt idx="46">
                  <c:v>545.24916169724372</c:v>
                </c:pt>
                <c:pt idx="47">
                  <c:v>673.81678449614583</c:v>
                </c:pt>
                <c:pt idx="48">
                  <c:v>746.16072008547019</c:v>
                </c:pt>
                <c:pt idx="49">
                  <c:v>646.77774680851076</c:v>
                </c:pt>
                <c:pt idx="50">
                  <c:v>695.13840487062373</c:v>
                </c:pt>
                <c:pt idx="51">
                  <c:v>547.45749374217769</c:v>
                </c:pt>
                <c:pt idx="52">
                  <c:v>638.00991221910112</c:v>
                </c:pt>
                <c:pt idx="53">
                  <c:v>428.06947638404949</c:v>
                </c:pt>
                <c:pt idx="54">
                  <c:v>545.80217696425132</c:v>
                </c:pt>
                <c:pt idx="55">
                  <c:v>577.86351041173691</c:v>
                </c:pt>
                <c:pt idx="56">
                  <c:v>762.28841731266141</c:v>
                </c:pt>
                <c:pt idx="57">
                  <c:v>2320.2331034482754</c:v>
                </c:pt>
                <c:pt idx="58">
                  <c:v>559.38886214500371</c:v>
                </c:pt>
                <c:pt idx="59">
                  <c:v>485.74254437955341</c:v>
                </c:pt>
                <c:pt idx="60">
                  <c:v>485.40858270418647</c:v>
                </c:pt>
                <c:pt idx="61">
                  <c:v>462.74045409181628</c:v>
                </c:pt>
                <c:pt idx="62">
                  <c:v>640.55967085522059</c:v>
                </c:pt>
                <c:pt idx="63">
                  <c:v>411.91937895125926</c:v>
                </c:pt>
                <c:pt idx="64">
                  <c:v>509.00050329308448</c:v>
                </c:pt>
                <c:pt idx="65">
                  <c:v>499.09690264215971</c:v>
                </c:pt>
                <c:pt idx="66">
                  <c:v>684.0742600964436</c:v>
                </c:pt>
                <c:pt idx="67">
                  <c:v>591.61935946220183</c:v>
                </c:pt>
                <c:pt idx="68">
                  <c:v>378.66171856465007</c:v>
                </c:pt>
                <c:pt idx="69">
                  <c:v>686.4222473449812</c:v>
                </c:pt>
                <c:pt idx="70">
                  <c:v>644.82276131045239</c:v>
                </c:pt>
                <c:pt idx="71">
                  <c:v>576.29963609898118</c:v>
                </c:pt>
                <c:pt idx="72">
                  <c:v>473.52791441319647</c:v>
                </c:pt>
                <c:pt idx="73">
                  <c:v>511.13777585210863</c:v>
                </c:pt>
                <c:pt idx="74">
                  <c:v>648.54164634146343</c:v>
                </c:pt>
                <c:pt idx="75">
                  <c:v>699.36899082568789</c:v>
                </c:pt>
                <c:pt idx="76">
                  <c:v>424.07054710144916</c:v>
                </c:pt>
                <c:pt idx="77">
                  <c:v>568.20462602614782</c:v>
                </c:pt>
                <c:pt idx="78">
                  <c:v>718.25344020172918</c:v>
                </c:pt>
              </c:numCache>
            </c:numRef>
          </c:xVal>
          <c:yVal>
            <c:numRef>
              <c:f>Kool!$CB$4:$CB$82</c:f>
              <c:numCache>
                <c:formatCode>0.00</c:formatCode>
                <c:ptCount val="79"/>
                <c:pt idx="0">
                  <c:v>1</c:v>
                </c:pt>
                <c:pt idx="1">
                  <c:v>1.4</c:v>
                </c:pt>
                <c:pt idx="2">
                  <c:v>1.1299999999999999</c:v>
                </c:pt>
                <c:pt idx="3">
                  <c:v>1.47</c:v>
                </c:pt>
                <c:pt idx="4">
                  <c:v>1</c:v>
                </c:pt>
                <c:pt idx="5">
                  <c:v>1.59</c:v>
                </c:pt>
                <c:pt idx="6">
                  <c:v>1.7</c:v>
                </c:pt>
                <c:pt idx="7">
                  <c:v>1.92</c:v>
                </c:pt>
                <c:pt idx="8">
                  <c:v>1.43</c:v>
                </c:pt>
                <c:pt idx="9">
                  <c:v>1</c:v>
                </c:pt>
                <c:pt idx="10">
                  <c:v>1.32</c:v>
                </c:pt>
                <c:pt idx="11">
                  <c:v>1.1100000000000001</c:v>
                </c:pt>
                <c:pt idx="12">
                  <c:v>1.1299999999999999</c:v>
                </c:pt>
                <c:pt idx="13">
                  <c:v>1.28</c:v>
                </c:pt>
                <c:pt idx="14">
                  <c:v>1</c:v>
                </c:pt>
                <c:pt idx="15">
                  <c:v>1.69</c:v>
                </c:pt>
                <c:pt idx="16">
                  <c:v>1.73</c:v>
                </c:pt>
                <c:pt idx="17">
                  <c:v>1.06</c:v>
                </c:pt>
                <c:pt idx="18">
                  <c:v>1.06</c:v>
                </c:pt>
                <c:pt idx="19">
                  <c:v>1.36</c:v>
                </c:pt>
                <c:pt idx="20">
                  <c:v>1.01</c:v>
                </c:pt>
                <c:pt idx="21">
                  <c:v>1.78</c:v>
                </c:pt>
                <c:pt idx="22">
                  <c:v>1</c:v>
                </c:pt>
                <c:pt idx="23">
                  <c:v>1.66</c:v>
                </c:pt>
                <c:pt idx="24">
                  <c:v>2.04</c:v>
                </c:pt>
                <c:pt idx="25">
                  <c:v>1.25</c:v>
                </c:pt>
                <c:pt idx="26">
                  <c:v>1.43</c:v>
                </c:pt>
                <c:pt idx="27">
                  <c:v>2.0099999999999998</c:v>
                </c:pt>
                <c:pt idx="28">
                  <c:v>1.57</c:v>
                </c:pt>
                <c:pt idx="29">
                  <c:v>1.57</c:v>
                </c:pt>
                <c:pt idx="30">
                  <c:v>1.92</c:v>
                </c:pt>
                <c:pt idx="31">
                  <c:v>1.1599999999999999</c:v>
                </c:pt>
                <c:pt idx="32">
                  <c:v>2.1</c:v>
                </c:pt>
                <c:pt idx="33">
                  <c:v>2.0099999999999998</c:v>
                </c:pt>
                <c:pt idx="34">
                  <c:v>1.97</c:v>
                </c:pt>
                <c:pt idx="35">
                  <c:v>1.49</c:v>
                </c:pt>
                <c:pt idx="36">
                  <c:v>1</c:v>
                </c:pt>
                <c:pt idx="37">
                  <c:v>1.58</c:v>
                </c:pt>
                <c:pt idx="38">
                  <c:v>1.36</c:v>
                </c:pt>
                <c:pt idx="39">
                  <c:v>1.88</c:v>
                </c:pt>
                <c:pt idx="40">
                  <c:v>1.7</c:v>
                </c:pt>
                <c:pt idx="41">
                  <c:v>1.98</c:v>
                </c:pt>
                <c:pt idx="42">
                  <c:v>2.02</c:v>
                </c:pt>
                <c:pt idx="43">
                  <c:v>2.1</c:v>
                </c:pt>
                <c:pt idx="44">
                  <c:v>1.95</c:v>
                </c:pt>
                <c:pt idx="45">
                  <c:v>1.1499999999999999</c:v>
                </c:pt>
                <c:pt idx="46">
                  <c:v>1.41</c:v>
                </c:pt>
                <c:pt idx="47">
                  <c:v>1.86</c:v>
                </c:pt>
                <c:pt idx="48">
                  <c:v>1.95</c:v>
                </c:pt>
                <c:pt idx="49">
                  <c:v>2.08</c:v>
                </c:pt>
                <c:pt idx="50">
                  <c:v>1.49</c:v>
                </c:pt>
                <c:pt idx="51">
                  <c:v>1.84</c:v>
                </c:pt>
                <c:pt idx="52">
                  <c:v>1.98</c:v>
                </c:pt>
                <c:pt idx="53">
                  <c:v>1.25</c:v>
                </c:pt>
                <c:pt idx="54">
                  <c:v>1.52</c:v>
                </c:pt>
                <c:pt idx="55">
                  <c:v>1.51</c:v>
                </c:pt>
                <c:pt idx="56">
                  <c:v>2.09</c:v>
                </c:pt>
                <c:pt idx="57">
                  <c:v>2.1</c:v>
                </c:pt>
                <c:pt idx="58">
                  <c:v>1.53</c:v>
                </c:pt>
                <c:pt idx="59">
                  <c:v>1.27</c:v>
                </c:pt>
                <c:pt idx="60">
                  <c:v>1.45</c:v>
                </c:pt>
                <c:pt idx="61">
                  <c:v>1.67</c:v>
                </c:pt>
                <c:pt idx="62">
                  <c:v>2.09</c:v>
                </c:pt>
                <c:pt idx="63">
                  <c:v>1.03</c:v>
                </c:pt>
                <c:pt idx="64">
                  <c:v>1.69</c:v>
                </c:pt>
                <c:pt idx="65">
                  <c:v>1.56</c:v>
                </c:pt>
                <c:pt idx="66">
                  <c:v>1.88</c:v>
                </c:pt>
                <c:pt idx="67">
                  <c:v>2.0299999999999998</c:v>
                </c:pt>
                <c:pt idx="68">
                  <c:v>1</c:v>
                </c:pt>
                <c:pt idx="69">
                  <c:v>1.96</c:v>
                </c:pt>
                <c:pt idx="70">
                  <c:v>2</c:v>
                </c:pt>
                <c:pt idx="71">
                  <c:v>1.85</c:v>
                </c:pt>
                <c:pt idx="72">
                  <c:v>1.2</c:v>
                </c:pt>
                <c:pt idx="73">
                  <c:v>1.69</c:v>
                </c:pt>
                <c:pt idx="74">
                  <c:v>1.8</c:v>
                </c:pt>
                <c:pt idx="75">
                  <c:v>2.0099999999999998</c:v>
                </c:pt>
                <c:pt idx="76">
                  <c:v>1</c:v>
                </c:pt>
                <c:pt idx="77">
                  <c:v>1.77</c:v>
                </c:pt>
                <c:pt idx="78">
                  <c:v>2.09</c:v>
                </c:pt>
              </c:numCache>
            </c:numRef>
          </c:yVal>
          <c:smooth val="0"/>
          <c:extLst>
            <c:ext xmlns:c15="http://schemas.microsoft.com/office/drawing/2012/chart" uri="{02D57815-91ED-43cb-92C2-25804820EDAC}">
              <c15:datalabelsRange>
                <c15:f>Alusharidus!$A$4:$A$82</c15:f>
                <c15:dlblRangeCache>
                  <c:ptCount val="79"/>
                  <c:pt idx="0">
                    <c:v>Tallinna linn</c:v>
                  </c:pt>
                  <c:pt idx="1">
                    <c:v>Anija vald</c:v>
                  </c:pt>
                  <c:pt idx="2">
                    <c:v>Harku vald</c:v>
                  </c:pt>
                  <c:pt idx="3">
                    <c:v>Jõelähtme vald</c:v>
                  </c:pt>
                  <c:pt idx="4">
                    <c:v>Keila linn</c:v>
                  </c:pt>
                  <c:pt idx="5">
                    <c:v>Kiili vald</c:v>
                  </c:pt>
                  <c:pt idx="6">
                    <c:v>Kose vald</c:v>
                  </c:pt>
                  <c:pt idx="7">
                    <c:v>Kuusalu vald</c:v>
                  </c:pt>
                  <c:pt idx="8">
                    <c:v>Loksa linn</c:v>
                  </c:pt>
                  <c:pt idx="9">
                    <c:v>Maardu linn</c:v>
                  </c:pt>
                  <c:pt idx="10">
                    <c:v>Raasiku vald</c:v>
                  </c:pt>
                  <c:pt idx="11">
                    <c:v>Rae vald</c:v>
                  </c:pt>
                  <c:pt idx="12">
                    <c:v>Saku vald</c:v>
                  </c:pt>
                  <c:pt idx="13">
                    <c:v>Saue vald</c:v>
                  </c:pt>
                  <c:pt idx="14">
                    <c:v>Viimsi vald</c:v>
                  </c:pt>
                  <c:pt idx="15">
                    <c:v>Lääne-Harju vald</c:v>
                  </c:pt>
                  <c:pt idx="16">
                    <c:v>Hiiumaa vald</c:v>
                  </c:pt>
                  <c:pt idx="17">
                    <c:v>Jõhvi vald</c:v>
                  </c:pt>
                  <c:pt idx="18">
                    <c:v>Kohtla-Järve linn</c:v>
                  </c:pt>
                  <c:pt idx="19">
                    <c:v>Lüganuse vald</c:v>
                  </c:pt>
                  <c:pt idx="20">
                    <c:v>Narva linn</c:v>
                  </c:pt>
                  <c:pt idx="21">
                    <c:v>Narva-Jõesuu linn</c:v>
                  </c:pt>
                  <c:pt idx="22">
                    <c:v>Sillamäe linn</c:v>
                  </c:pt>
                  <c:pt idx="23">
                    <c:v>Toila vald</c:v>
                  </c:pt>
                  <c:pt idx="24">
                    <c:v>Alutaguse vald</c:v>
                  </c:pt>
                  <c:pt idx="25">
                    <c:v>Paide linn</c:v>
                  </c:pt>
                  <c:pt idx="26">
                    <c:v>Türi vald</c:v>
                  </c:pt>
                  <c:pt idx="27">
                    <c:v>Järva vald</c:v>
                  </c:pt>
                  <c:pt idx="28">
                    <c:v>Jõgeva vald</c:v>
                  </c:pt>
                  <c:pt idx="29">
                    <c:v>Põltsamaa vald</c:v>
                  </c:pt>
                  <c:pt idx="30">
                    <c:v>Mustvee vald</c:v>
                  </c:pt>
                  <c:pt idx="31">
                    <c:v>Haapsalu linn</c:v>
                  </c:pt>
                  <c:pt idx="32">
                    <c:v>Vormsi vald</c:v>
                  </c:pt>
                  <c:pt idx="33">
                    <c:v>Lääne-Nigula vald</c:v>
                  </c:pt>
                  <c:pt idx="34">
                    <c:v>Haljala vald</c:v>
                  </c:pt>
                  <c:pt idx="35">
                    <c:v>Kadrina vald</c:v>
                  </c:pt>
                  <c:pt idx="36">
                    <c:v>Rakvere linn</c:v>
                  </c:pt>
                  <c:pt idx="37">
                    <c:v>Rakvere vald</c:v>
                  </c:pt>
                  <c:pt idx="38">
                    <c:v>Tapa vald</c:v>
                  </c:pt>
                  <c:pt idx="39">
                    <c:v>Vinni vald</c:v>
                  </c:pt>
                  <c:pt idx="40">
                    <c:v>Viru-Nigula vald</c:v>
                  </c:pt>
                  <c:pt idx="41">
                    <c:v>Väike-Maarja vald</c:v>
                  </c:pt>
                  <c:pt idx="42">
                    <c:v>Häädemeeste vald</c:v>
                  </c:pt>
                  <c:pt idx="43">
                    <c:v>Kihnu vald</c:v>
                  </c:pt>
                  <c:pt idx="44">
                    <c:v>Saarde vald</c:v>
                  </c:pt>
                  <c:pt idx="45">
                    <c:v>Pärnu linn</c:v>
                  </c:pt>
                  <c:pt idx="46">
                    <c:v>Tori vald</c:v>
                  </c:pt>
                  <c:pt idx="47">
                    <c:v>Põhja-Pärnumaa vald</c:v>
                  </c:pt>
                  <c:pt idx="48">
                    <c:v>Lääneranna vald</c:v>
                  </c:pt>
                  <c:pt idx="49">
                    <c:v>Kanepi vald</c:v>
                  </c:pt>
                  <c:pt idx="50">
                    <c:v>Põlva vald</c:v>
                  </c:pt>
                  <c:pt idx="51">
                    <c:v>Räpina vald</c:v>
                  </c:pt>
                  <c:pt idx="52">
                    <c:v>Kehtna vald</c:v>
                  </c:pt>
                  <c:pt idx="53">
                    <c:v>Kohila vald</c:v>
                  </c:pt>
                  <c:pt idx="54">
                    <c:v>Märjamaa vald</c:v>
                  </c:pt>
                  <c:pt idx="55">
                    <c:v>Rapla vald</c:v>
                  </c:pt>
                  <c:pt idx="56">
                    <c:v>Muhu vald</c:v>
                  </c:pt>
                  <c:pt idx="57">
                    <c:v>Ruhnu vald</c:v>
                  </c:pt>
                  <c:pt idx="58">
                    <c:v>Saaremaa vald</c:v>
                  </c:pt>
                  <c:pt idx="59">
                    <c:v>Kambja vald</c:v>
                  </c:pt>
                  <c:pt idx="60">
                    <c:v>Luunja vald</c:v>
                  </c:pt>
                  <c:pt idx="61">
                    <c:v>Nõo vald</c:v>
                  </c:pt>
                  <c:pt idx="62">
                    <c:v>Peipsiääre vald</c:v>
                  </c:pt>
                  <c:pt idx="63">
                    <c:v>Tartu linn</c:v>
                  </c:pt>
                  <c:pt idx="64">
                    <c:v>Tartu vald</c:v>
                  </c:pt>
                  <c:pt idx="65">
                    <c:v>Elva vald</c:v>
                  </c:pt>
                  <c:pt idx="66">
                    <c:v>Kastre vald</c:v>
                  </c:pt>
                  <c:pt idx="67">
                    <c:v>Mulgi vald</c:v>
                  </c:pt>
                  <c:pt idx="68">
                    <c:v>Viljandi linn</c:v>
                  </c:pt>
                  <c:pt idx="69">
                    <c:v>Viljandi vald</c:v>
                  </c:pt>
                  <c:pt idx="70">
                    <c:v>Põhja-Sakala vald</c:v>
                  </c:pt>
                  <c:pt idx="71">
                    <c:v>Otepää vald</c:v>
                  </c:pt>
                  <c:pt idx="72">
                    <c:v>Valga vald</c:v>
                  </c:pt>
                  <c:pt idx="73">
                    <c:v>Tõrva vald</c:v>
                  </c:pt>
                  <c:pt idx="74">
                    <c:v>Antsla vald</c:v>
                  </c:pt>
                  <c:pt idx="75">
                    <c:v>Rõuge vald</c:v>
                  </c:pt>
                  <c:pt idx="76">
                    <c:v>Võru linn</c:v>
                  </c:pt>
                  <c:pt idx="77">
                    <c:v>Võru vald</c:v>
                  </c:pt>
                  <c:pt idx="78">
                    <c:v>Setomaa vald</c:v>
                  </c:pt>
                </c15:dlblRangeCache>
              </c15:datalabelsRange>
            </c:ext>
            <c:ext xmlns:c16="http://schemas.microsoft.com/office/drawing/2014/chart" uri="{C3380CC4-5D6E-409C-BE32-E72D297353CC}">
              <c16:uniqueId val="{0000004F-4AF9-44EA-8F57-E384EA92334C}"/>
            </c:ext>
          </c:extLst>
        </c:ser>
        <c:dLbls>
          <c:showLegendKey val="0"/>
          <c:showVal val="0"/>
          <c:showCatName val="0"/>
          <c:showSerName val="0"/>
          <c:showPercent val="0"/>
          <c:showBubbleSize val="0"/>
        </c:dLbls>
        <c:axId val="1328638975"/>
        <c:axId val="997580256"/>
      </c:scatterChart>
      <c:valAx>
        <c:axId val="1328638975"/>
        <c:scaling>
          <c:orientation val="minMax"/>
          <c:max val="900"/>
          <c:min val="30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Kulu lapse kohta kuus</a:t>
                </a:r>
                <a:r>
                  <a:rPr lang="et-EE"/>
                  <a:t> (eurot)</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997580256"/>
        <c:crosses val="autoZero"/>
        <c:crossBetween val="midCat"/>
      </c:valAx>
      <c:valAx>
        <c:axId val="997580256"/>
        <c:scaling>
          <c:orientation val="minMax"/>
          <c:min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Tagamaalisuse koefitsient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t-EE"/>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328638975"/>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numDim type="val">
        <cx:f>_xlchart.v1.0</cx:f>
      </cx:numDim>
    </cx:data>
  </cx:chartData>
  <cx:chart>
    <cx:title pos="t" align="ctr" overlay="0">
      <cx:tx>
        <cx:rich>
          <a:bodyPr spcFirstLastPara="1" vertOverflow="ellipsis" horzOverflow="overflow" wrap="square" lIns="0" tIns="0" rIns="0" bIns="0" anchor="ctr" anchorCtr="1"/>
          <a:lstStyle/>
          <a:p>
            <a:pPr algn="ctr" rtl="0">
              <a:defRPr/>
            </a:pPr>
            <a:r>
              <a:rPr lang="et-EE" sz="1400" b="0" i="0" u="none" strike="noStrike" baseline="0">
                <a:solidFill>
                  <a:sysClr val="windowText" lastClr="000000">
                    <a:lumMod val="65000"/>
                    <a:lumOff val="35000"/>
                  </a:sysClr>
                </a:solidFill>
                <a:latin typeface="Calibri"/>
              </a:rPr>
              <a:t>KOV-de arv lasteaia kohatasu vahemikes 2025</a:t>
            </a:r>
            <a:endParaRPr lang="en-US" sz="1400" b="0" i="0" u="none" strike="noStrike" baseline="0">
              <a:solidFill>
                <a:sysClr val="windowText" lastClr="000000">
                  <a:lumMod val="65000"/>
                  <a:lumOff val="35000"/>
                </a:sysClr>
              </a:solidFill>
              <a:latin typeface="Calibri"/>
            </a:endParaRPr>
          </a:p>
        </cx:rich>
      </cx:tx>
    </cx:title>
    <cx:plotArea>
      <cx:plotAreaRegion>
        <cx:series layoutId="clusteredColumn" uniqueId="{172AEFB7-F11C-4147-B384-8E9C0AAA4E43}">
          <cx:spPr>
            <a:solidFill>
              <a:srgbClr val="595959"/>
            </a:solidFill>
          </cx:spPr>
          <cx:dataId val="0"/>
          <cx:layoutPr>
            <cx:binning intervalClosed="r" overflow="926.33423398692798">
              <cx:binSize val="60"/>
            </cx:binning>
          </cx:layoutPr>
        </cx:series>
      </cx:plotAreaRegion>
      <cx:axis id="0">
        <cx:catScaling gapWidth="0.330000013"/>
        <cx:title>
          <cx:tx>
            <cx:rich>
              <a:bodyPr spcFirstLastPara="1" vertOverflow="ellipsis" horzOverflow="overflow" wrap="square" lIns="0" tIns="0" rIns="0" bIns="0" anchor="ctr" anchorCtr="1"/>
              <a:lstStyle/>
              <a:p>
                <a:pPr algn="ctr" rtl="0">
                  <a:defRPr/>
                </a:pPr>
                <a:r>
                  <a:rPr lang="et-EE" sz="900" b="0" i="0" u="none" strike="noStrike" baseline="0">
                    <a:solidFill>
                      <a:sysClr val="windowText" lastClr="000000">
                        <a:lumMod val="65000"/>
                        <a:lumOff val="35000"/>
                      </a:sysClr>
                    </a:solidFill>
                    <a:latin typeface="Calibri"/>
                  </a:rPr>
                  <a:t>Kohatasu kuus lapse kohta (eurot)</a:t>
                </a:r>
                <a:endParaRPr lang="en-US" sz="900" b="0" i="0" u="none" strike="noStrike" baseline="0">
                  <a:solidFill>
                    <a:sysClr val="windowText" lastClr="000000">
                      <a:lumMod val="65000"/>
                      <a:lumOff val="35000"/>
                    </a:sysClr>
                  </a:solidFill>
                  <a:latin typeface="Calibri"/>
                </a:endParaRPr>
              </a:p>
            </cx:rich>
          </cx:tx>
        </cx:title>
        <cx:tickLabels/>
      </cx:axis>
      <cx:axis id="1">
        <cx:valScaling/>
        <cx:title>
          <cx:tx>
            <cx:rich>
              <a:bodyPr spcFirstLastPara="1" vertOverflow="ellipsis" horzOverflow="overflow" wrap="square" lIns="0" tIns="0" rIns="0" bIns="0" anchor="ctr" anchorCtr="1"/>
              <a:lstStyle/>
              <a:p>
                <a:pPr algn="ctr" rtl="0">
                  <a:defRPr/>
                </a:pPr>
                <a:r>
                  <a:rPr lang="et-EE" sz="900" b="0" i="0" u="none" strike="noStrike" baseline="0">
                    <a:solidFill>
                      <a:sysClr val="windowText" lastClr="000000">
                        <a:lumMod val="65000"/>
                        <a:lumOff val="35000"/>
                      </a:sysClr>
                    </a:solidFill>
                    <a:latin typeface="Calibri"/>
                  </a:rPr>
                  <a:t>KOV arv</a:t>
                </a:r>
                <a:endParaRPr lang="en-US" sz="900" b="0" i="0" u="none" strike="noStrike" baseline="0">
                  <a:solidFill>
                    <a:sysClr val="windowText" lastClr="000000">
                      <a:lumMod val="65000"/>
                      <a:lumOff val="35000"/>
                    </a:sysClr>
                  </a:solidFill>
                  <a:latin typeface="Calibri"/>
                </a:endParaRPr>
              </a:p>
            </cx:rich>
          </cx:tx>
        </cx:title>
        <cx:majorGridlines/>
        <cx:tickLabels/>
      </cx:axis>
    </cx:plotArea>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numDim type="val">
        <cx:f>_xlchart.v1.1</cx:f>
      </cx:numDim>
    </cx:data>
  </cx:chartData>
  <cx:chart>
    <cx:title pos="t" align="ctr" overlay="0">
      <cx:tx>
        <cx:rich>
          <a:bodyPr spcFirstLastPara="1" vertOverflow="ellipsis" horzOverflow="overflow" wrap="square" lIns="0" tIns="0" rIns="0" bIns="0" anchor="ctr" anchorCtr="1"/>
          <a:lstStyle/>
          <a:p>
            <a:pPr algn="ctr" rtl="0">
              <a:defRPr/>
            </a:pPr>
            <a:r>
              <a:rPr lang="et-EE" sz="1400" b="0" i="0" u="none" strike="noStrike" baseline="0">
                <a:solidFill>
                  <a:sysClr val="windowText" lastClr="000000">
                    <a:lumMod val="65000"/>
                    <a:lumOff val="35000"/>
                  </a:sysClr>
                </a:solidFill>
                <a:latin typeface="Calibri"/>
              </a:rPr>
              <a:t>KOV-de arv koolikoha maksumuse vahemikes 2025</a:t>
            </a:r>
            <a:endParaRPr lang="en-US" sz="1400" b="0" i="0" u="none" strike="noStrike" baseline="0">
              <a:solidFill>
                <a:sysClr val="windowText" lastClr="000000">
                  <a:lumMod val="65000"/>
                  <a:lumOff val="35000"/>
                </a:sysClr>
              </a:solidFill>
              <a:latin typeface="Calibri"/>
            </a:endParaRPr>
          </a:p>
        </cx:rich>
      </cx:tx>
    </cx:title>
    <cx:plotArea>
      <cx:plotAreaRegion>
        <cx:series layoutId="clusteredColumn" uniqueId="{172AEFB7-F11C-4147-B384-8E9C0AAA4E43}">
          <cx:spPr>
            <a:solidFill>
              <a:srgbClr val="595959"/>
            </a:solidFill>
          </cx:spPr>
          <cx:dataId val="0"/>
          <cx:layoutPr>
            <cx:binning intervalClosed="r" overflow="926.33423398692798">
              <cx:binSize val="60"/>
            </cx:binning>
          </cx:layoutPr>
        </cx:series>
      </cx:plotAreaRegion>
      <cx:axis id="0">
        <cx:catScaling gapWidth="0.330000013"/>
        <cx:title>
          <cx:tx>
            <cx:rich>
              <a:bodyPr spcFirstLastPara="1" vertOverflow="ellipsis" horzOverflow="overflow" wrap="square" lIns="0" tIns="0" rIns="0" bIns="0" anchor="ctr" anchorCtr="1"/>
              <a:lstStyle/>
              <a:p>
                <a:pPr algn="ctr" rtl="0">
                  <a:defRPr/>
                </a:pPr>
                <a:r>
                  <a:rPr lang="et-EE" sz="900" b="0" i="0" u="none" strike="noStrike" baseline="0">
                    <a:solidFill>
                      <a:sysClr val="windowText" lastClr="000000">
                        <a:lumMod val="65000"/>
                        <a:lumOff val="35000"/>
                      </a:sysClr>
                    </a:solidFill>
                    <a:latin typeface="Calibri"/>
                  </a:rPr>
                  <a:t>Kulu kuus lapse kohta (eurot)</a:t>
                </a:r>
                <a:endParaRPr lang="en-US" sz="900" b="0" i="0" u="none" strike="noStrike" baseline="0">
                  <a:solidFill>
                    <a:sysClr val="windowText" lastClr="000000">
                      <a:lumMod val="65000"/>
                      <a:lumOff val="35000"/>
                    </a:sysClr>
                  </a:solidFill>
                  <a:latin typeface="Calibri"/>
                </a:endParaRPr>
              </a:p>
            </cx:rich>
          </cx:tx>
        </cx:title>
        <cx:tickLabels/>
      </cx:axis>
      <cx:axis id="1">
        <cx:valScaling/>
        <cx:title>
          <cx:tx>
            <cx:rich>
              <a:bodyPr spcFirstLastPara="1" vertOverflow="ellipsis" horzOverflow="overflow" wrap="square" lIns="0" tIns="0" rIns="0" bIns="0" anchor="ctr" anchorCtr="1"/>
              <a:lstStyle/>
              <a:p>
                <a:pPr algn="ctr" rtl="0">
                  <a:defRPr/>
                </a:pPr>
                <a:r>
                  <a:rPr lang="et-EE" sz="900" b="0" i="0" u="none" strike="noStrike" baseline="0">
                    <a:solidFill>
                      <a:sysClr val="windowText" lastClr="000000">
                        <a:lumMod val="65000"/>
                        <a:lumOff val="35000"/>
                      </a:sysClr>
                    </a:solidFill>
                    <a:latin typeface="Calibri"/>
                  </a:rPr>
                  <a:t>KOV arv</a:t>
                </a:r>
                <a:endParaRPr lang="en-US" sz="900" b="0" i="0" u="none" strike="noStrike" baseline="0">
                  <a:solidFill>
                    <a:sysClr val="windowText" lastClr="000000">
                      <a:lumMod val="65000"/>
                      <a:lumOff val="35000"/>
                    </a:sysClr>
                  </a:solidFill>
                  <a:latin typeface="Calibri"/>
                </a:endParaRPr>
              </a:p>
            </cx:rich>
          </cx:tx>
        </cx:title>
        <cx:majorGridlines/>
        <cx:tickLabels/>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microsoft.com/office/2014/relationships/chartEx" Target="../charts/chartEx1.xml"/></Relationships>
</file>

<file path=xl/drawings/_rels/drawing2.xml.rels><?xml version="1.0" encoding="UTF-8" standalone="yes"?>
<Relationships xmlns="http://schemas.openxmlformats.org/package/2006/relationships"><Relationship Id="rId8" Type="http://schemas.openxmlformats.org/officeDocument/2006/relationships/chart" Target="../charts/chart16.xml"/><Relationship Id="rId3" Type="http://schemas.openxmlformats.org/officeDocument/2006/relationships/chart" Target="../charts/chart11.xml"/><Relationship Id="rId7" Type="http://schemas.openxmlformats.org/officeDocument/2006/relationships/chart" Target="../charts/chart15.xml"/><Relationship Id="rId2" Type="http://schemas.openxmlformats.org/officeDocument/2006/relationships/chart" Target="../charts/chart10.xml"/><Relationship Id="rId1" Type="http://schemas.openxmlformats.org/officeDocument/2006/relationships/chart" Target="../charts/chart9.xml"/><Relationship Id="rId6" Type="http://schemas.openxmlformats.org/officeDocument/2006/relationships/chart" Target="../charts/chart14.xml"/><Relationship Id="rId5" Type="http://schemas.openxmlformats.org/officeDocument/2006/relationships/chart" Target="../charts/chart13.xml"/><Relationship Id="rId10" Type="http://schemas.openxmlformats.org/officeDocument/2006/relationships/chart" Target="../charts/chart17.xml"/><Relationship Id="rId4" Type="http://schemas.openxmlformats.org/officeDocument/2006/relationships/chart" Target="../charts/chart12.xml"/><Relationship Id="rId9" Type="http://schemas.microsoft.com/office/2014/relationships/chartEx" Target="../charts/chartEx2.xml"/></Relationships>
</file>

<file path=xl/drawings/drawing1.xml><?xml version="1.0" encoding="utf-8"?>
<xdr:wsDr xmlns:xdr="http://schemas.openxmlformats.org/drawingml/2006/spreadsheetDrawing" xmlns:a="http://schemas.openxmlformats.org/drawingml/2006/main">
  <xdr:twoCellAnchor>
    <xdr:from>
      <xdr:col>0</xdr:col>
      <xdr:colOff>44450</xdr:colOff>
      <xdr:row>22</xdr:row>
      <xdr:rowOff>25400</xdr:rowOff>
    </xdr:from>
    <xdr:to>
      <xdr:col>11</xdr:col>
      <xdr:colOff>609599</xdr:colOff>
      <xdr:row>43</xdr:row>
      <xdr:rowOff>127000</xdr:rowOff>
    </xdr:to>
    <xdr:graphicFrame macro="">
      <xdr:nvGraphicFramePr>
        <xdr:cNvPr id="2" name="Chart 1">
          <a:extLst>
            <a:ext uri="{FF2B5EF4-FFF2-40B4-BE49-F238E27FC236}">
              <a16:creationId xmlns:a16="http://schemas.microsoft.com/office/drawing/2014/main" id="{E5864F91-3013-4D0E-9092-EBC5EE6431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38100</xdr:colOff>
      <xdr:row>0</xdr:row>
      <xdr:rowOff>25400</xdr:rowOff>
    </xdr:from>
    <xdr:to>
      <xdr:col>12</xdr:col>
      <xdr:colOff>0</xdr:colOff>
      <xdr:row>21</xdr:row>
      <xdr:rowOff>133350</xdr:rowOff>
    </xdr:to>
    <xdr:graphicFrame macro="">
      <xdr:nvGraphicFramePr>
        <xdr:cNvPr id="3" name="Chart 2">
          <a:extLst>
            <a:ext uri="{FF2B5EF4-FFF2-40B4-BE49-F238E27FC236}">
              <a16:creationId xmlns:a16="http://schemas.microsoft.com/office/drawing/2014/main" id="{6262C732-735B-4550-82EC-12A393B10E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31750</xdr:colOff>
      <xdr:row>0</xdr:row>
      <xdr:rowOff>25400</xdr:rowOff>
    </xdr:from>
    <xdr:to>
      <xdr:col>23</xdr:col>
      <xdr:colOff>603250</xdr:colOff>
      <xdr:row>21</xdr:row>
      <xdr:rowOff>133350</xdr:rowOff>
    </xdr:to>
    <xdr:graphicFrame macro="">
      <xdr:nvGraphicFramePr>
        <xdr:cNvPr id="5" name="Chart 4">
          <a:extLst>
            <a:ext uri="{FF2B5EF4-FFF2-40B4-BE49-F238E27FC236}">
              <a16:creationId xmlns:a16="http://schemas.microsoft.com/office/drawing/2014/main" id="{1E1C173C-38C0-4530-9CAB-A327F12648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0</xdr:colOff>
      <xdr:row>22</xdr:row>
      <xdr:rowOff>0</xdr:rowOff>
    </xdr:from>
    <xdr:to>
      <xdr:col>24</xdr:col>
      <xdr:colOff>19050</xdr:colOff>
      <xdr:row>43</xdr:row>
      <xdr:rowOff>120650</xdr:rowOff>
    </xdr:to>
    <xdr:graphicFrame macro="">
      <xdr:nvGraphicFramePr>
        <xdr:cNvPr id="6" name="Chart 5">
          <a:extLst>
            <a:ext uri="{FF2B5EF4-FFF2-40B4-BE49-F238E27FC236}">
              <a16:creationId xmlns:a16="http://schemas.microsoft.com/office/drawing/2014/main" id="{6E7A07D1-CCDC-41F9-9399-C366EA2A4B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44</xdr:row>
      <xdr:rowOff>0</xdr:rowOff>
    </xdr:from>
    <xdr:to>
      <xdr:col>11</xdr:col>
      <xdr:colOff>584200</xdr:colOff>
      <xdr:row>64</xdr:row>
      <xdr:rowOff>19050</xdr:rowOff>
    </xdr:to>
    <xdr:graphicFrame macro="">
      <xdr:nvGraphicFramePr>
        <xdr:cNvPr id="7" name="Chart 6">
          <a:extLst>
            <a:ext uri="{FF2B5EF4-FFF2-40B4-BE49-F238E27FC236}">
              <a16:creationId xmlns:a16="http://schemas.microsoft.com/office/drawing/2014/main" id="{D3202806-B4DD-41DE-BFFE-58B88C7486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44</xdr:row>
      <xdr:rowOff>0</xdr:rowOff>
    </xdr:from>
    <xdr:to>
      <xdr:col>23</xdr:col>
      <xdr:colOff>603250</xdr:colOff>
      <xdr:row>64</xdr:row>
      <xdr:rowOff>19050</xdr:rowOff>
    </xdr:to>
    <xdr:graphicFrame macro="">
      <xdr:nvGraphicFramePr>
        <xdr:cNvPr id="8" name="Chart 7">
          <a:extLst>
            <a:ext uri="{FF2B5EF4-FFF2-40B4-BE49-F238E27FC236}">
              <a16:creationId xmlns:a16="http://schemas.microsoft.com/office/drawing/2014/main" id="{10336936-7BB6-48AF-B187-F831087A5A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65</xdr:row>
      <xdr:rowOff>0</xdr:rowOff>
    </xdr:from>
    <xdr:to>
      <xdr:col>11</xdr:col>
      <xdr:colOff>577850</xdr:colOff>
      <xdr:row>84</xdr:row>
      <xdr:rowOff>146050</xdr:rowOff>
    </xdr:to>
    <xdr:graphicFrame macro="">
      <xdr:nvGraphicFramePr>
        <xdr:cNvPr id="9" name="Chart 8">
          <a:extLst>
            <a:ext uri="{FF2B5EF4-FFF2-40B4-BE49-F238E27FC236}">
              <a16:creationId xmlns:a16="http://schemas.microsoft.com/office/drawing/2014/main" id="{51E425AC-F14F-4AB6-8B1C-F0ED774F84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xdr:col>
      <xdr:colOff>0</xdr:colOff>
      <xdr:row>65</xdr:row>
      <xdr:rowOff>0</xdr:rowOff>
    </xdr:from>
    <xdr:to>
      <xdr:col>23</xdr:col>
      <xdr:colOff>603250</xdr:colOff>
      <xdr:row>84</xdr:row>
      <xdr:rowOff>158750</xdr:rowOff>
    </xdr:to>
    <xdr:graphicFrame macro="">
      <xdr:nvGraphicFramePr>
        <xdr:cNvPr id="10" name="Chart 9">
          <a:extLst>
            <a:ext uri="{FF2B5EF4-FFF2-40B4-BE49-F238E27FC236}">
              <a16:creationId xmlns:a16="http://schemas.microsoft.com/office/drawing/2014/main" id="{CD554E2A-C51E-4323-876A-83A6084684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85</xdr:row>
      <xdr:rowOff>0</xdr:rowOff>
    </xdr:from>
    <xdr:to>
      <xdr:col>11</xdr:col>
      <xdr:colOff>590550</xdr:colOff>
      <xdr:row>102</xdr:row>
      <xdr:rowOff>146050</xdr:rowOff>
    </xdr:to>
    <mc:AlternateContent xmlns:mc="http://schemas.openxmlformats.org/markup-compatibility/2006">
      <mc:Choice xmlns:cx1="http://schemas.microsoft.com/office/drawing/2015/9/8/chartex" Requires="cx1">
        <xdr:graphicFrame macro="">
          <xdr:nvGraphicFramePr>
            <xdr:cNvPr id="11" name="Chart 10" descr="Chart type: Histogram. Frequency of 'Field51'&#10;&#10;Description automatically generated">
              <a:extLst>
                <a:ext uri="{FF2B5EF4-FFF2-40B4-BE49-F238E27FC236}">
                  <a16:creationId xmlns:a16="http://schemas.microsoft.com/office/drawing/2014/main" id="{80B9A524-0BC8-439B-9D6F-FD88F11D8736}"/>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9"/>
            </a:graphicData>
          </a:graphic>
        </xdr:graphicFrame>
      </mc:Choice>
      <mc:Fallback>
        <xdr:sp macro="" textlink="">
          <xdr:nvSpPr>
            <xdr:cNvPr id="0" name=""/>
            <xdr:cNvSpPr>
              <a:spLocks noTextEdit="1"/>
            </xdr:cNvSpPr>
          </xdr:nvSpPr>
          <xdr:spPr>
            <a:xfrm>
              <a:off x="0" y="15652750"/>
              <a:ext cx="7296150" cy="3276600"/>
            </a:xfrm>
            <a:prstGeom prst="rect">
              <a:avLst/>
            </a:prstGeom>
            <a:solidFill>
              <a:prstClr val="white"/>
            </a:solidFill>
            <a:ln w="1">
              <a:solidFill>
                <a:prstClr val="green"/>
              </a:solidFill>
            </a:ln>
          </xdr:spPr>
          <xdr:txBody>
            <a:bodyPr vertOverflow="clip" horzOverflow="clip"/>
            <a:lstStyle/>
            <a:p>
              <a:r>
                <a:rPr lang="et-EE"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0</xdr:col>
      <xdr:colOff>44450</xdr:colOff>
      <xdr:row>22</xdr:row>
      <xdr:rowOff>25400</xdr:rowOff>
    </xdr:from>
    <xdr:to>
      <xdr:col>11</xdr:col>
      <xdr:colOff>609599</xdr:colOff>
      <xdr:row>43</xdr:row>
      <xdr:rowOff>127000</xdr:rowOff>
    </xdr:to>
    <xdr:graphicFrame macro="">
      <xdr:nvGraphicFramePr>
        <xdr:cNvPr id="2" name="Chart 1">
          <a:extLst>
            <a:ext uri="{FF2B5EF4-FFF2-40B4-BE49-F238E27FC236}">
              <a16:creationId xmlns:a16="http://schemas.microsoft.com/office/drawing/2014/main" id="{BF4E9224-B14F-434E-BFC7-95A935266F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19050</xdr:rowOff>
    </xdr:from>
    <xdr:to>
      <xdr:col>11</xdr:col>
      <xdr:colOff>571500</xdr:colOff>
      <xdr:row>21</xdr:row>
      <xdr:rowOff>127000</xdr:rowOff>
    </xdr:to>
    <xdr:graphicFrame macro="">
      <xdr:nvGraphicFramePr>
        <xdr:cNvPr id="3" name="Chart 2">
          <a:extLst>
            <a:ext uri="{FF2B5EF4-FFF2-40B4-BE49-F238E27FC236}">
              <a16:creationId xmlns:a16="http://schemas.microsoft.com/office/drawing/2014/main" id="{8AA02042-84B6-4283-BB9A-B4F6946531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31750</xdr:colOff>
      <xdr:row>0</xdr:row>
      <xdr:rowOff>25400</xdr:rowOff>
    </xdr:from>
    <xdr:to>
      <xdr:col>23</xdr:col>
      <xdr:colOff>603250</xdr:colOff>
      <xdr:row>21</xdr:row>
      <xdr:rowOff>133350</xdr:rowOff>
    </xdr:to>
    <xdr:graphicFrame macro="">
      <xdr:nvGraphicFramePr>
        <xdr:cNvPr id="4" name="Chart 3">
          <a:extLst>
            <a:ext uri="{FF2B5EF4-FFF2-40B4-BE49-F238E27FC236}">
              <a16:creationId xmlns:a16="http://schemas.microsoft.com/office/drawing/2014/main" id="{FA2B71AC-A694-4D24-88FC-DD23A2DDE8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0</xdr:colOff>
      <xdr:row>22</xdr:row>
      <xdr:rowOff>0</xdr:rowOff>
    </xdr:from>
    <xdr:to>
      <xdr:col>24</xdr:col>
      <xdr:colOff>19050</xdr:colOff>
      <xdr:row>43</xdr:row>
      <xdr:rowOff>120650</xdr:rowOff>
    </xdr:to>
    <xdr:graphicFrame macro="">
      <xdr:nvGraphicFramePr>
        <xdr:cNvPr id="5" name="Chart 4">
          <a:extLst>
            <a:ext uri="{FF2B5EF4-FFF2-40B4-BE49-F238E27FC236}">
              <a16:creationId xmlns:a16="http://schemas.microsoft.com/office/drawing/2014/main" id="{9A6F533F-F215-4C7E-9B00-8E40766726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44</xdr:row>
      <xdr:rowOff>0</xdr:rowOff>
    </xdr:from>
    <xdr:to>
      <xdr:col>11</xdr:col>
      <xdr:colOff>584200</xdr:colOff>
      <xdr:row>64</xdr:row>
      <xdr:rowOff>19050</xdr:rowOff>
    </xdr:to>
    <xdr:graphicFrame macro="">
      <xdr:nvGraphicFramePr>
        <xdr:cNvPr id="6" name="Chart 5">
          <a:extLst>
            <a:ext uri="{FF2B5EF4-FFF2-40B4-BE49-F238E27FC236}">
              <a16:creationId xmlns:a16="http://schemas.microsoft.com/office/drawing/2014/main" id="{4C232130-A1C4-4A53-8726-658119662E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44</xdr:row>
      <xdr:rowOff>0</xdr:rowOff>
    </xdr:from>
    <xdr:to>
      <xdr:col>23</xdr:col>
      <xdr:colOff>603250</xdr:colOff>
      <xdr:row>64</xdr:row>
      <xdr:rowOff>19050</xdr:rowOff>
    </xdr:to>
    <xdr:graphicFrame macro="">
      <xdr:nvGraphicFramePr>
        <xdr:cNvPr id="7" name="Chart 6">
          <a:extLst>
            <a:ext uri="{FF2B5EF4-FFF2-40B4-BE49-F238E27FC236}">
              <a16:creationId xmlns:a16="http://schemas.microsoft.com/office/drawing/2014/main" id="{D56AB068-4568-4A6D-9011-279776861A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65</xdr:row>
      <xdr:rowOff>0</xdr:rowOff>
    </xdr:from>
    <xdr:to>
      <xdr:col>11</xdr:col>
      <xdr:colOff>577850</xdr:colOff>
      <xdr:row>84</xdr:row>
      <xdr:rowOff>146050</xdr:rowOff>
    </xdr:to>
    <xdr:graphicFrame macro="">
      <xdr:nvGraphicFramePr>
        <xdr:cNvPr id="8" name="Chart 7">
          <a:extLst>
            <a:ext uri="{FF2B5EF4-FFF2-40B4-BE49-F238E27FC236}">
              <a16:creationId xmlns:a16="http://schemas.microsoft.com/office/drawing/2014/main" id="{0ACBBCC9-12A4-45B8-ABB0-FF82BD6E0B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xdr:col>
      <xdr:colOff>0</xdr:colOff>
      <xdr:row>65</xdr:row>
      <xdr:rowOff>0</xdr:rowOff>
    </xdr:from>
    <xdr:to>
      <xdr:col>23</xdr:col>
      <xdr:colOff>603250</xdr:colOff>
      <xdr:row>84</xdr:row>
      <xdr:rowOff>158750</xdr:rowOff>
    </xdr:to>
    <xdr:graphicFrame macro="">
      <xdr:nvGraphicFramePr>
        <xdr:cNvPr id="9" name="Chart 8">
          <a:extLst>
            <a:ext uri="{FF2B5EF4-FFF2-40B4-BE49-F238E27FC236}">
              <a16:creationId xmlns:a16="http://schemas.microsoft.com/office/drawing/2014/main" id="{A12EC130-B82F-4B45-9CDD-F41BE38FC5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85</xdr:row>
      <xdr:rowOff>0</xdr:rowOff>
    </xdr:from>
    <xdr:to>
      <xdr:col>11</xdr:col>
      <xdr:colOff>590550</xdr:colOff>
      <xdr:row>102</xdr:row>
      <xdr:rowOff>146050</xdr:rowOff>
    </xdr:to>
    <mc:AlternateContent xmlns:mc="http://schemas.openxmlformats.org/markup-compatibility/2006">
      <mc:Choice xmlns:cx1="http://schemas.microsoft.com/office/drawing/2015/9/8/chartex" Requires="cx1">
        <xdr:graphicFrame macro="">
          <xdr:nvGraphicFramePr>
            <xdr:cNvPr id="10" name="Chart 9" descr="Chart type: Histogram. Frequency of 'Field51'&#10;&#10;Description automatically generated">
              <a:extLst>
                <a:ext uri="{FF2B5EF4-FFF2-40B4-BE49-F238E27FC236}">
                  <a16:creationId xmlns:a16="http://schemas.microsoft.com/office/drawing/2014/main" id="{F9FEC80C-D0AA-4978-9E87-A59A5C1D3C39}"/>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9"/>
            </a:graphicData>
          </a:graphic>
        </xdr:graphicFrame>
      </mc:Choice>
      <mc:Fallback>
        <xdr:sp macro="" textlink="">
          <xdr:nvSpPr>
            <xdr:cNvPr id="0" name=""/>
            <xdr:cNvSpPr>
              <a:spLocks noTextEdit="1"/>
            </xdr:cNvSpPr>
          </xdr:nvSpPr>
          <xdr:spPr>
            <a:xfrm>
              <a:off x="0" y="15652750"/>
              <a:ext cx="7296150" cy="3276600"/>
            </a:xfrm>
            <a:prstGeom prst="rect">
              <a:avLst/>
            </a:prstGeom>
            <a:solidFill>
              <a:prstClr val="white"/>
            </a:solidFill>
            <a:ln w="1">
              <a:solidFill>
                <a:prstClr val="green"/>
              </a:solidFill>
            </a:ln>
          </xdr:spPr>
          <xdr:txBody>
            <a:bodyPr vertOverflow="clip" horzOverflow="clip"/>
            <a:lstStyle/>
            <a:p>
              <a:r>
                <a:rPr lang="et-EE"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12</xdr:col>
      <xdr:colOff>0</xdr:colOff>
      <xdr:row>85</xdr:row>
      <xdr:rowOff>0</xdr:rowOff>
    </xdr:from>
    <xdr:to>
      <xdr:col>23</xdr:col>
      <xdr:colOff>596900</xdr:colOff>
      <xdr:row>103</xdr:row>
      <xdr:rowOff>0</xdr:rowOff>
    </xdr:to>
    <xdr:graphicFrame macro="">
      <xdr:nvGraphicFramePr>
        <xdr:cNvPr id="12" name="Chart 11">
          <a:extLst>
            <a:ext uri="{FF2B5EF4-FFF2-40B4-BE49-F238E27FC236}">
              <a16:creationId xmlns:a16="http://schemas.microsoft.com/office/drawing/2014/main" id="{715467FA-0D7B-4718-B595-A89AAC9D27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H:\personal\ASJAD_ARVUTIST\KOV\Memod\2026\KOV_kaugused.xlsx" TargetMode="External"/><Relationship Id="rId1" Type="http://schemas.openxmlformats.org/officeDocument/2006/relationships/externalLinkPath" Target="file:///H:\personal\ASJAD_ARVUTIST\KOV\Memod\2026\KOV_kaugus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augused autoga"/>
      <sheetName val="min"/>
      <sheetName val="tagamaalisus"/>
      <sheetName val="kaugused jalgsi_lasteaed"/>
    </sheetNames>
    <sheetDataSet>
      <sheetData sheetId="0">
        <row r="3">
          <cell r="A3" t="str">
            <v>Alutaguse vald</v>
          </cell>
          <cell r="B3">
            <v>4798.1000000000004</v>
          </cell>
        </row>
        <row r="4">
          <cell r="A4" t="str">
            <v>Anija vald</v>
          </cell>
          <cell r="B4">
            <v>2732.3</v>
          </cell>
        </row>
        <row r="5">
          <cell r="A5" t="str">
            <v>Antsla vald</v>
          </cell>
          <cell r="B5">
            <v>4613.7</v>
          </cell>
        </row>
        <row r="6">
          <cell r="A6" t="str">
            <v>Elva vald</v>
          </cell>
          <cell r="B6">
            <v>2737.4</v>
          </cell>
        </row>
        <row r="7">
          <cell r="A7" t="str">
            <v>Haapsalu linn</v>
          </cell>
          <cell r="B7">
            <v>1650</v>
          </cell>
        </row>
        <row r="8">
          <cell r="A8" t="str">
            <v>Haljala vald</v>
          </cell>
          <cell r="B8">
            <v>4116.3999999999996</v>
          </cell>
        </row>
        <row r="9">
          <cell r="A9" t="str">
            <v>Harku vald</v>
          </cell>
          <cell r="B9">
            <v>2071.1</v>
          </cell>
        </row>
        <row r="10">
          <cell r="A10" t="str">
            <v>Hiiumaa vald</v>
          </cell>
          <cell r="B10">
            <v>3743.2</v>
          </cell>
        </row>
        <row r="11">
          <cell r="A11" t="str">
            <v>Häädemeeste vald</v>
          </cell>
          <cell r="B11">
            <v>4159.6000000000004</v>
          </cell>
        </row>
        <row r="12">
          <cell r="A12" t="str">
            <v>Järva vald</v>
          </cell>
          <cell r="B12">
            <v>3557.2</v>
          </cell>
        </row>
        <row r="13">
          <cell r="A13" t="str">
            <v>Jõelähtme vald</v>
          </cell>
          <cell r="B13">
            <v>2494.8000000000002</v>
          </cell>
        </row>
        <row r="14">
          <cell r="A14" t="str">
            <v>Jõgeva vald</v>
          </cell>
          <cell r="B14">
            <v>2293.9</v>
          </cell>
        </row>
        <row r="15">
          <cell r="A15" t="str">
            <v>Jõhvi vald</v>
          </cell>
          <cell r="B15">
            <v>1351.1</v>
          </cell>
        </row>
        <row r="16">
          <cell r="A16" t="str">
            <v>Kadrina vald</v>
          </cell>
          <cell r="B16">
            <v>2504.4</v>
          </cell>
        </row>
        <row r="17">
          <cell r="A17" t="str">
            <v>Kambja vald</v>
          </cell>
          <cell r="B17">
            <v>2030.7</v>
          </cell>
        </row>
        <row r="18">
          <cell r="A18" t="str">
            <v>Kanepi vald</v>
          </cell>
          <cell r="B18">
            <v>4248.1000000000004</v>
          </cell>
        </row>
        <row r="19">
          <cell r="A19" t="str">
            <v>Kastre vald</v>
          </cell>
          <cell r="B19">
            <v>2190.6999999999998</v>
          </cell>
        </row>
        <row r="20">
          <cell r="A20" t="str">
            <v>Kehtna vald</v>
          </cell>
          <cell r="B20">
            <v>1646.5</v>
          </cell>
        </row>
        <row r="21">
          <cell r="A21" t="str">
            <v>Keila linn</v>
          </cell>
          <cell r="B21">
            <v>702.4</v>
          </cell>
        </row>
        <row r="22">
          <cell r="A22" t="str">
            <v>Kihnu vald</v>
          </cell>
          <cell r="B22">
            <v>1586.6</v>
          </cell>
        </row>
        <row r="23">
          <cell r="A23" t="str">
            <v>Kiili vald</v>
          </cell>
          <cell r="B23">
            <v>2476.6</v>
          </cell>
        </row>
        <row r="24">
          <cell r="A24" t="str">
            <v>Kohila vald</v>
          </cell>
          <cell r="B24">
            <v>2040.8</v>
          </cell>
        </row>
        <row r="25">
          <cell r="A25" t="str">
            <v>Kohtla-Järve linn</v>
          </cell>
          <cell r="B25">
            <v>691.6</v>
          </cell>
        </row>
        <row r="26">
          <cell r="A26" t="str">
            <v>Kose vald</v>
          </cell>
          <cell r="B26">
            <v>1828.7</v>
          </cell>
        </row>
        <row r="27">
          <cell r="A27" t="str">
            <v>Kuusalu vald</v>
          </cell>
          <cell r="B27">
            <v>4456.3999999999996</v>
          </cell>
        </row>
        <row r="28">
          <cell r="A28" t="str">
            <v>Loksa linn</v>
          </cell>
          <cell r="B28">
            <v>639.4</v>
          </cell>
        </row>
        <row r="29">
          <cell r="A29" t="str">
            <v>Luunja vald</v>
          </cell>
          <cell r="B29">
            <v>2835.6</v>
          </cell>
        </row>
        <row r="30">
          <cell r="A30" t="str">
            <v>Lääne-Harju vald</v>
          </cell>
          <cell r="B30">
            <v>2199.1</v>
          </cell>
        </row>
        <row r="31">
          <cell r="A31" t="str">
            <v>Lääne-Nigula vald</v>
          </cell>
          <cell r="B31">
            <v>3761.2</v>
          </cell>
        </row>
        <row r="32">
          <cell r="A32" t="str">
            <v>Lääneranna vald</v>
          </cell>
          <cell r="B32">
            <v>4806.8999999999996</v>
          </cell>
        </row>
        <row r="33">
          <cell r="A33" t="str">
            <v>Lüganuse vald</v>
          </cell>
          <cell r="B33">
            <v>2134.1</v>
          </cell>
        </row>
        <row r="34">
          <cell r="A34" t="str">
            <v>Maardu linn</v>
          </cell>
          <cell r="B34">
            <v>763.3</v>
          </cell>
        </row>
        <row r="35">
          <cell r="A35" t="str">
            <v>Muhu vald</v>
          </cell>
          <cell r="B35">
            <v>5665.6</v>
          </cell>
        </row>
        <row r="36">
          <cell r="A36" t="str">
            <v>Mulgi vald</v>
          </cell>
          <cell r="B36">
            <v>3625.6</v>
          </cell>
        </row>
        <row r="37">
          <cell r="A37" t="str">
            <v>Mustvee vald</v>
          </cell>
          <cell r="B37">
            <v>2755.5</v>
          </cell>
        </row>
        <row r="38">
          <cell r="A38" t="str">
            <v>Märjamaa vald</v>
          </cell>
          <cell r="B38">
            <v>2571.5</v>
          </cell>
        </row>
        <row r="39">
          <cell r="A39" t="str">
            <v>Narva linn</v>
          </cell>
          <cell r="B39">
            <v>644.1</v>
          </cell>
        </row>
        <row r="40">
          <cell r="A40" t="str">
            <v>Narva-Jõesuu linn</v>
          </cell>
          <cell r="B40">
            <v>1938.3</v>
          </cell>
        </row>
        <row r="41">
          <cell r="A41" t="str">
            <v>Nõo vald</v>
          </cell>
          <cell r="B41">
            <v>1854.3</v>
          </cell>
        </row>
        <row r="42">
          <cell r="A42" t="str">
            <v>Otepää vald</v>
          </cell>
          <cell r="B42">
            <v>3175</v>
          </cell>
        </row>
        <row r="43">
          <cell r="A43" t="str">
            <v>Paide linn</v>
          </cell>
          <cell r="B43">
            <v>1850.6</v>
          </cell>
        </row>
        <row r="44">
          <cell r="A44" t="str">
            <v>Peipsiääre vald</v>
          </cell>
          <cell r="B44">
            <v>3713.6</v>
          </cell>
        </row>
        <row r="45">
          <cell r="A45" t="str">
            <v>Pärnu linn</v>
          </cell>
          <cell r="B45">
            <v>1233.7</v>
          </cell>
        </row>
        <row r="46">
          <cell r="A46" t="str">
            <v>Põhja-Pärnumaa vald</v>
          </cell>
          <cell r="B46">
            <v>3077</v>
          </cell>
        </row>
        <row r="47">
          <cell r="A47" t="str">
            <v>Põhja-Sakala vald</v>
          </cell>
          <cell r="B47">
            <v>2375.4</v>
          </cell>
        </row>
        <row r="48">
          <cell r="A48" t="str">
            <v>Põltsamaa vald</v>
          </cell>
          <cell r="B48">
            <v>2553.6999999999998</v>
          </cell>
        </row>
        <row r="49">
          <cell r="A49" t="str">
            <v>Põlva vald</v>
          </cell>
          <cell r="B49">
            <v>2346</v>
          </cell>
        </row>
        <row r="50">
          <cell r="A50" t="str">
            <v>Raasiku vald</v>
          </cell>
          <cell r="B50">
            <v>1660.1</v>
          </cell>
        </row>
        <row r="51">
          <cell r="A51" t="str">
            <v>Rae vald</v>
          </cell>
          <cell r="B51">
            <v>1220.3</v>
          </cell>
        </row>
        <row r="52">
          <cell r="A52" t="str">
            <v>Rakvere linn</v>
          </cell>
          <cell r="B52">
            <v>926.2</v>
          </cell>
        </row>
        <row r="53">
          <cell r="A53" t="str">
            <v>Rakvere vald</v>
          </cell>
          <cell r="B53">
            <v>3008.3</v>
          </cell>
        </row>
        <row r="54">
          <cell r="A54" t="str">
            <v>Rapla vald</v>
          </cell>
          <cell r="B54">
            <v>1707.5</v>
          </cell>
        </row>
        <row r="55">
          <cell r="A55" t="str">
            <v>Ruhnu vald</v>
          </cell>
          <cell r="B55" t="str">
            <v>-</v>
          </cell>
        </row>
        <row r="56">
          <cell r="A56" t="str">
            <v>Räpina vald</v>
          </cell>
          <cell r="B56">
            <v>4484.3</v>
          </cell>
        </row>
        <row r="57">
          <cell r="A57" t="str">
            <v>Rõuge vald</v>
          </cell>
          <cell r="B57">
            <v>4566.6000000000004</v>
          </cell>
        </row>
        <row r="58">
          <cell r="A58" t="str">
            <v>Saarde vald</v>
          </cell>
          <cell r="B58">
            <v>4606.6000000000004</v>
          </cell>
        </row>
        <row r="59">
          <cell r="A59" t="str">
            <v>Saaremaa vald</v>
          </cell>
          <cell r="B59">
            <v>3217.9</v>
          </cell>
        </row>
        <row r="60">
          <cell r="A60" t="str">
            <v>Saku vald</v>
          </cell>
          <cell r="B60">
            <v>2527.4</v>
          </cell>
        </row>
        <row r="61">
          <cell r="A61" t="str">
            <v>Saue vald</v>
          </cell>
          <cell r="B61">
            <v>1828.5</v>
          </cell>
        </row>
        <row r="62">
          <cell r="A62" t="str">
            <v>Setomaa vald</v>
          </cell>
          <cell r="B62">
            <v>4575.8</v>
          </cell>
        </row>
        <row r="63">
          <cell r="A63" t="str">
            <v>Sillamäe linn</v>
          </cell>
          <cell r="B63">
            <v>721.9</v>
          </cell>
        </row>
        <row r="64">
          <cell r="A64" t="str">
            <v>Tallinn</v>
          </cell>
          <cell r="B64">
            <v>636.79999999999995</v>
          </cell>
        </row>
        <row r="65">
          <cell r="A65" t="str">
            <v>Tapa vald</v>
          </cell>
          <cell r="B65">
            <v>1373.5</v>
          </cell>
        </row>
        <row r="66">
          <cell r="A66" t="str">
            <v>Tartu linn</v>
          </cell>
          <cell r="B66">
            <v>777.8</v>
          </cell>
        </row>
        <row r="67">
          <cell r="A67" t="str">
            <v>Tartu vald</v>
          </cell>
          <cell r="B67">
            <v>2651.2</v>
          </cell>
        </row>
        <row r="68">
          <cell r="A68" t="str">
            <v>Toila vald</v>
          </cell>
          <cell r="B68">
            <v>2655.3</v>
          </cell>
        </row>
        <row r="69">
          <cell r="A69" t="str">
            <v>Tori vald</v>
          </cell>
          <cell r="B69">
            <v>2505.3000000000002</v>
          </cell>
        </row>
        <row r="70">
          <cell r="A70" t="str">
            <v>Tõrva vald</v>
          </cell>
          <cell r="B70">
            <v>2164.6999999999998</v>
          </cell>
        </row>
        <row r="71">
          <cell r="A71" t="str">
            <v>Türi vald</v>
          </cell>
          <cell r="B71">
            <v>2334.6999999999998</v>
          </cell>
        </row>
        <row r="72">
          <cell r="A72" t="str">
            <v>Valga vald</v>
          </cell>
          <cell r="B72">
            <v>2022.7</v>
          </cell>
        </row>
        <row r="73">
          <cell r="A73" t="str">
            <v>Viimsi vald</v>
          </cell>
          <cell r="B73">
            <v>894.5</v>
          </cell>
        </row>
        <row r="74">
          <cell r="A74" t="str">
            <v>Viljandi linn</v>
          </cell>
          <cell r="B74">
            <v>653.70000000000005</v>
          </cell>
        </row>
        <row r="75">
          <cell r="A75" t="str">
            <v>Viljandi vald</v>
          </cell>
          <cell r="B75">
            <v>3058.8</v>
          </cell>
        </row>
        <row r="76">
          <cell r="A76" t="str">
            <v>Vinni vald</v>
          </cell>
          <cell r="B76">
            <v>3064.3</v>
          </cell>
        </row>
        <row r="77">
          <cell r="A77" t="str">
            <v>Viru-Nigula vald</v>
          </cell>
          <cell r="B77">
            <v>1389.2</v>
          </cell>
        </row>
        <row r="78">
          <cell r="A78" t="str">
            <v>Vormsi vald</v>
          </cell>
          <cell r="B78">
            <v>4262.8999999999996</v>
          </cell>
        </row>
        <row r="79">
          <cell r="A79" t="str">
            <v>Väike-Maarja vald</v>
          </cell>
          <cell r="B79">
            <v>2889</v>
          </cell>
        </row>
        <row r="80">
          <cell r="A80" t="str">
            <v>Võru linn</v>
          </cell>
          <cell r="B80">
            <v>776.6</v>
          </cell>
        </row>
        <row r="81">
          <cell r="A81" t="str">
            <v>Võru vald</v>
          </cell>
          <cell r="B81">
            <v>4006.3</v>
          </cell>
        </row>
        <row r="82">
          <cell r="A82" t="str">
            <v>Eesti kokku</v>
          </cell>
          <cell r="B82">
            <v>1498.6</v>
          </cell>
        </row>
      </sheetData>
      <sheetData sheetId="1" refreshError="1"/>
      <sheetData sheetId="2" refreshError="1"/>
      <sheetData sheetId="3" refreshError="1"/>
    </sheetDataSet>
  </externalBook>
</externalLink>
</file>

<file path=xl/persons/person.xml><?xml version="1.0" encoding="utf-8"?>
<personList xmlns="http://schemas.microsoft.com/office/spreadsheetml/2018/threadedcomments" xmlns:x="http://schemas.openxmlformats.org/spreadsheetml/2006/main">
  <person displayName="Andrus Jõgi" id="{918651CC-4668-4029-AC40-B5A7E5141811}" userId="S::Andrus.Jogi@agri.ee::f0691c52-96f8-45bd-897a-9ac4e9f07549"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3" dT="2026-03-18T07:14:11.44" personId="{918651CC-4668-4029-AC40-B5A7E5141811}" id="{ADCCB1F1-1FC3-4285-BD11-9DFB4480165F}">
    <text>552460</text>
  </threadedComment>
  <threadedComment ref="O3" dT="2026-03-18T07:14:11.44" personId="{918651CC-4668-4029-AC40-B5A7E5141811}" id="{378DF32B-44E1-4008-85F1-6C6D063E17DC}">
    <text>552460</text>
  </threadedComment>
  <threadedComment ref="U3" dT="2026-03-18T07:09:38.30" personId="{918651CC-4668-4029-AC40-B5A7E5141811}" id="{ECCE6027-780B-4C3F-857C-7D985F7048D1}">
    <text>V.a toetusfond 352000. Sh KOV-de omavaheline arvlemine.</text>
  </threadedComment>
  <threadedComment ref="V3" dT="2026-03-18T07:49:27.78" personId="{918651CC-4668-4029-AC40-B5A7E5141811}" id="{7C802109-612F-4BCC-9B94-3CB2BD5A048B}">
    <text>322020 Koolieelsete lasteasutuste kohatasu, TP füüsilised isikud</text>
  </threadedComment>
  <threadedComment ref="W3" dT="2026-03-18T08:36:57.79" personId="{918651CC-4668-4029-AC40-B5A7E5141811}" id="{53853EEE-6B01-4533-87F1-6BC2362D76B6}">
    <text xml:space="preserve"> 322040 Tasu toitlustamiskuludeks, TP füüsilised isikud.
Võib sisaldada väikses määras töötajate makstud osa.</text>
  </threadedComment>
  <threadedComment ref="X3" dT="2026-03-18T08:36:57.79" personId="{918651CC-4668-4029-AC40-B5A7E5141811}" id="{D35DA3EE-C637-4572-A494-B19764A73596}">
    <text>322030 Tasu töövihikute, õppematerjali ja muude õppekulude katteks, TP füüsilised isikud</text>
  </threadedComment>
  <threadedComment ref="AA3" dT="2026-03-18T07:09:38.30" personId="{918651CC-4668-4029-AC40-B5A7E5141811}" id="{690AE0FC-F0B0-4DE0-BFDF-D5F79949FC7A}">
    <text>V.a toetusfond 352000. Sh KOV-de omavaheline arvlemine.</text>
  </threadedComment>
  <threadedComment ref="AB3" dT="2026-03-18T07:49:27.78" personId="{918651CC-4668-4029-AC40-B5A7E5141811}" id="{3C58758E-5290-40F3-AB40-FAFC2FBD7DA4}">
    <text>322020 Koolieelsete lasteasutuste kohatasu, TP füüsilised isikud.
Võib sisaldada väikses määras töötajate makstud osa.</text>
  </threadedComment>
  <threadedComment ref="AC3" dT="2026-03-18T08:36:57.79" personId="{918651CC-4668-4029-AC40-B5A7E5141811}" id="{0B04FC08-A77B-4632-A0D9-30DF220F3B42}">
    <text xml:space="preserve"> 322040 Tasu toitlustamiskuludeks, TP füüsilised isikud</text>
  </threadedComment>
  <threadedComment ref="AD3" dT="2026-03-18T08:36:57.79" personId="{918651CC-4668-4029-AC40-B5A7E5141811}" id="{8DB25090-B2AF-4282-A08F-2834F323C40D}">
    <text>322030 Tasu töövihikute, õppematerjali ja muude õppekulude katteks, TP füüsilised isikud</text>
  </threadedComment>
  <threadedComment ref="BN3" dT="2026-04-22T07:16:15.33" personId="{918651CC-4668-4029-AC40-B5A7E5141811}" id="{7F8EF252-CF7D-4747-AA65-4FEAA280DC8F}">
    <text>See siin ei näita tasu teises lasteaias käiva lapse eest, vaid üksnes kui suur on laekunud tulu kõigi vastava KOV lasteaias käivate laste kohta kuus.</text>
  </threadedComment>
  <threadedComment ref="CD3" dT="2026-05-25T13:23:23.12" personId="{918651CC-4668-4029-AC40-B5A7E5141811}" id="{AAD24D00-ABB3-418A-82B3-6A9EDEC38AFA}">
    <text>Arvestuslikud tulud (tasandusfond 2025) + tulude-kulude tasandus (tasandusfond 2025) + väikesaarte toetus (tasandusfond 2025) + keskkonnatasud (2022-2024 keskmine) jagatuna arvestusliku kuluvajadusega koos väiksesaarte toetusega (tasandusfond 2025).</text>
  </threadedComment>
  <threadedComment ref="CE3" dT="2026-05-25T13:24:21.19" personId="{918651CC-4668-4029-AC40-B5A7E5141811}" id="{EDCE5C86-7678-45EF-A360-C3C6DAFBC443}">
    <text>Toimetulev: tulukus &lt;101%;
Keskmiselt toimetulev 101%-110%
Tulukas &gt;=110%</text>
  </threadedComment>
  <threadedComment ref="AB7" dT="2026-03-18T08:51:57.19" personId="{918651CC-4668-4029-AC40-B5A7E5141811}" id="{94291238-2156-4964-8648-24B108C0C48F}">
    <text>Lasteaia kohatasu on 0.</text>
  </threadedComment>
  <threadedComment ref="N9" dT="2026-04-21T13:34:58.61" personId="{918651CC-4668-4029-AC40-B5A7E5141811}" id="{4052C188-2799-43D8-B12C-9D58949D4F14}">
    <text>Lisatud lastevanemate toitlusttasu</text>
  </threadedComment>
  <threadedComment ref="W9" dT="2026-04-21T13:30:47.04" personId="{918651CC-4668-4029-AC40-B5A7E5141811}" id="{8825CD39-40A7-4500-80E9-7193CB892AFF}">
    <text>Vanemad arvlevad otse toitlustajaga. Seetõttu lisatud siia teiste KOV-de keskmine kulu lapse kohta aastas, et tulemused oleks võrreldavad.</text>
  </threadedComment>
  <threadedComment ref="AC9" dT="2026-04-21T13:30:47.04" personId="{918651CC-4668-4029-AC40-B5A7E5141811}" id="{A35F2833-DDD4-4C74-8359-746AE24F875E}">
    <text>Vanemad arvlevad otse toitlustajaga. Seetõttu lisatud siia teiste KOV-de keskmine kulu lapse kohta aastas, et tulemused oleks võrreldavad.</text>
  </threadedComment>
  <threadedComment ref="BN12" dT="2026-04-22T07:15:17.24" personId="{918651CC-4668-4029-AC40-B5A7E5141811}" id="{6E813ED9-AA33-4A8A-B10A-A67C66CB4800}">
    <text>Kuusalu vald maksab oma laste eest. See jagatis on siin küll saadud raha kõigi Loksa lasteaias käivate laste kohta ja mitte üksnes mujalt tulnud laste kohta. Seetõttu ei näita see siin päris tasu lapse eest.</text>
  </threadedComment>
  <threadedComment ref="N17" dT="2026-04-21T13:35:22.44" personId="{918651CC-4668-4029-AC40-B5A7E5141811}" id="{893663B5-CFD1-4466-ACFF-44B08745154E}">
    <text>Lisatud lastevanemate toitlustustasu</text>
  </threadedComment>
  <threadedComment ref="W17" dT="2026-04-21T13:30:47.04" personId="{918651CC-4668-4029-AC40-B5A7E5141811}" id="{08AF3315-F05C-4704-8213-FD3374378AF7}">
    <text>Vanemad arvlevad otse toitlustajaga. Seetõttu lisatud siia teiste KOV-de keskmine kulu lapse kohta aastas, et tulemused oleks võrreldavad.</text>
  </threadedComment>
  <threadedComment ref="AC17" dT="2026-04-21T13:30:47.04" personId="{918651CC-4668-4029-AC40-B5A7E5141811}" id="{4BF01510-49C5-4263-A988-0487E422C74C}">
    <text>Vanemad arvlevad otse toitlustajaga. Seetõttu lisatud siia teiste KOV-de keskmine kulu lapse kohta aastas, et tulemused oleks võrreldavad.</text>
  </threadedComment>
  <threadedComment ref="U31" dT="2026-03-18T07:08:44.17" personId="{918651CC-4668-4029-AC40-B5A7E5141811}" id="{EA47ED82-6A07-4702-8765-C92884AF1040}">
    <text>Lisatud koolieelse lasteasutuse kohatasu tulu muu hariduse halduse tegevusala alt, mis laekus teistelt KOV-idelt</text>
  </threadedComment>
  <threadedComment ref="W33" dT="2026-04-21T05:36:17.69" personId="{918651CC-4668-4029-AC40-B5A7E5141811}" id="{7A00BF54-4304-4FAB-BC8E-95183E3AA644}">
    <text>Toit tasuta.</text>
  </threadedComment>
  <threadedComment ref="AC33" dT="2026-04-21T05:36:24.33" personId="{918651CC-4668-4029-AC40-B5A7E5141811}" id="{7A3FE6EF-8E07-4127-AA08-E39E90402F09}">
    <text>Toit tasuta.</text>
  </threadedComment>
  <threadedComment ref="N40" dT="2026-04-21T13:35:51.59" personId="{918651CC-4668-4029-AC40-B5A7E5141811}" id="{CDA106A7-AD72-4EBA-9ACB-0DC7C33F88D0}">
    <text>Lisatud lastevanemate toitlustustasu</text>
  </threadedComment>
  <threadedComment ref="W40" dT="2026-04-21T13:30:47.04" personId="{918651CC-4668-4029-AC40-B5A7E5141811}" id="{65B40F43-B9CC-412F-8EB4-E2BEA369C3A1}">
    <text>Vanemad arvlevad otse toitlustajaga. Seetõttu lisatud siia teiste KOV-de keskmine kulu lapse kohta aastas, et tulemused oleks võrreldavad.</text>
  </threadedComment>
  <threadedComment ref="AC40" dT="2026-04-21T13:30:47.04" personId="{918651CC-4668-4029-AC40-B5A7E5141811}" id="{30E319AA-FC74-4F7C-B064-22A3086197A8}">
    <text>Vanemad arvlevad otse toitlustajaga. Seetõttu lisatud siia teiste KOV-de keskmine kulu lapse kohta aastas, et tulemused oleks võrreldavad.</text>
  </threadedComment>
  <threadedComment ref="N44" dT="2026-04-21T13:36:12.31" personId="{918651CC-4668-4029-AC40-B5A7E5141811}" id="{635AC468-3F3A-434C-B571-02B9A3145314}">
    <text>Lisatud lastevanemate toitlustustasu</text>
  </threadedComment>
  <threadedComment ref="W44" dT="2026-04-21T13:30:47.04" personId="{918651CC-4668-4029-AC40-B5A7E5141811}" id="{9BFABBA0-3CF4-4FC6-9218-9B9E4A7B0A8A}">
    <text>Vanemad arvlevad otse toitlustajaga. Seetõttu lisatud siia teiste KOV-de keskmine kulu lapse kohta aastas, et tulemused oleks võrreldavad.</text>
  </threadedComment>
  <threadedComment ref="AC44" dT="2026-04-21T10:28:21.28" personId="{918651CC-4668-4029-AC40-B5A7E5141811}" id="{0F4F1935-AC77-4194-ABD5-A49B56D202EB}">
    <text>TA 09601 all koos koolitoiduga. Lasteaia toitlustustulu osa oli 72 028,60 eurot.</text>
  </threadedComment>
  <threadedComment ref="AB53" dT="2026-03-18T08:52:20.68" personId="{918651CC-4668-4029-AC40-B5A7E5141811}" id="{EA28E4D2-5301-479A-884F-71E5C05BB0C1}">
    <text>Lasteaia kohatasu on 0.</text>
  </threadedComment>
  <threadedComment ref="R59" dT="2026-05-25T06:36:41.75" personId="{918651CC-4668-4029-AC40-B5A7E5141811}" id="{682EDE40-3DBB-4F4F-A870-AB1C4F47FE3E}">
    <text>Rapla valla esitatud parandus.</text>
  </threadedComment>
  <threadedComment ref="AB81" dT="2026-04-21T10:31:23.80" personId="{918651CC-4668-4029-AC40-B5A7E5141811}" id="{4932C571-EC73-493F-9532-C2C9899FD64B}">
    <text>Kohatasu valel kontol</text>
  </threadedComment>
  <threadedComment ref="BV86" dT="2026-04-22T12:52:23.39" personId="{918651CC-4668-4029-AC40-B5A7E5141811}" id="{2F9AC533-960C-4029-B00F-B21CF55F283B}">
    <text>Mõjutatud väikesaarte tulemusest. Ilma väikesaarteta kukub korrelatsioon oluliselt ja r2=0,1. Ehk selgitab vaid ⅒ hinnaerinevustest.</text>
  </threadedComment>
  <threadedComment ref="BX86" dT="2026-04-22T12:52:23.39" personId="{918651CC-4668-4029-AC40-B5A7E5141811}" id="{D4293658-678F-4A0C-8428-28561ECC217E}">
    <text>Mõjutatud väikesaarte tulemusest. Ilma väikesaarteta kukub korrelatsioon oluliselt ja r2=0,1. Ehk selgitab vaid ⅒ hinnaerinevustest.</text>
  </threadedComment>
  <threadedComment ref="CD86" dT="2026-04-22T12:52:23.39" personId="{918651CC-4668-4029-AC40-B5A7E5141811}" id="{6E8A2C69-E4EE-4F87-B5B5-31F6797323D4}">
    <text>Mõjutatud väikesaarte tulemusest. Ilma väikesaarteta kukub korrelatsioon oluliselt ja r2=0,1. Ehk selgitab vaid ⅒ hinnaerinevustest.</text>
  </threadedComment>
</ThreadedComments>
</file>

<file path=xl/threadedComments/threadedComment2.xml><?xml version="1.0" encoding="utf-8"?>
<ThreadedComments xmlns="http://schemas.microsoft.com/office/spreadsheetml/2018/threadedcomments" xmlns:x="http://schemas.openxmlformats.org/spreadsheetml/2006/main">
  <threadedComment ref="AQ1" dT="2026-06-03T07:48:14.06" personId="{918651CC-4668-4029-AC40-B5A7E5141811}" id="{B660C359-5BC1-4641-AF29-1CCC8D9B5130}">
    <text>Maksude ja hüvitisteta (Bruto töötasu).</text>
  </threadedComment>
  <threadedComment ref="BV1" dT="2026-04-21T11:49:12.76" personId="{918651CC-4668-4029-AC40-B5A7E5141811}" id="{3F92D30B-65CB-44D5-96D5-8AFEB07C8934}">
    <text>Siin ei ole arvestatud teistelt KOV-delt saadud tuluga.</text>
  </threadedComment>
  <threadedComment ref="G3" dT="2026-04-20T11:24:56.82" personId="{918651CC-4668-4029-AC40-B5A7E5141811}" id="{65B2BCA5-3FBF-4502-AB51-1AEA7A40074D}">
    <text>552450 ja 552460</text>
  </threadedComment>
  <threadedComment ref="J3" dT="2026-04-20T09:22:03.89" personId="{918651CC-4668-4029-AC40-B5A7E5141811}" id="{32178707-D442-493E-94D2-EDC561391B19}">
    <text>Konto 50021, kooli 092 tegevusaladelt. Lisatud maksud x1,338.</text>
  </threadedComment>
  <threadedComment ref="Q3" dT="2026-04-20T11:24:56.82" personId="{918651CC-4668-4029-AC40-B5A7E5141811}" id="{065DCC0B-9837-449D-80C6-D7348D6B8FF3}">
    <text>552450 ja 552460</text>
  </threadedComment>
  <threadedComment ref="T3" dT="2026-04-20T09:22:03.89" personId="{918651CC-4668-4029-AC40-B5A7E5141811}" id="{804CA787-5A85-46A4-ABA8-85AE9F0FE569}">
    <text>Konto 50021, kooli 092 tegevusaladelt. Lisatud maksud x1,338.</text>
  </threadedComment>
  <threadedComment ref="E4" dT="2026-04-21T11:50:01.91" personId="{918651CC-4668-4029-AC40-B5A7E5141811}" id="{2AAF821C-1074-4567-B548-E5D75CEE0471}">
    <text>haridusameti antud toetused - "Rattaga kooli!" ja õppeaasta alguse toetus</text>
  </threadedComment>
  <threadedComment ref="AY6" dT="2026-04-21T11:13:04.09" personId="{918651CC-4668-4029-AC40-B5A7E5141811}" id="{F004001A-4A1B-4B8A-80A2-21CC2CF6D6AC}">
    <text>Lahutatud maha tööjõukulud ja õppevahendid 5524.</text>
  </threadedComment>
  <threadedComment ref="A17" dT="2026-05-14T06:51:08.55" personId="{918651CC-4668-4029-AC40-B5A7E5141811}" id="{2BD6D3D9-14C4-4AA0-9422-41950D5FA985}">
    <text>Laagri koolile antud toetus on jaotatud ära kulu sisu järgi valla antud proportsioone arvestades.
Laagri kool asub kahes majas – üks hoone on nende bilansis (amort tabelis) ja teine on SA Veskimöldre haridusmaja bilansis – siin rendib ruume (rendikulu tabelis), selle hoone amort ei sisaldu tabelis.
Laenumaksete tasumiseks antakse eraldi toetust ja seda praeguses tabelis ei sisaldu.</text>
  </threadedComment>
  <threadedComment ref="E17" dT="2026-04-20T11:30:18.96" personId="{918651CC-4668-4029-AC40-B5A7E5141811}" id="{BD8D6AB0-E12F-46C9-859D-51AD3AF35817}">
    <text>Peamiselt 152302 Laagri Haridus- ja Spordikeskus OÜ</text>
  </threadedComment>
  <threadedComment ref="AY18" dT="2026-04-21T11:15:37.89" personId="{918651CC-4668-4029-AC40-B5A7E5141811}" id="{572C15C3-9FEC-4F21-8465-154A3751C65A}">
    <text>Lahutatud töötasu ja 5525 õppevahendid ja koolitused</text>
  </threadedComment>
  <threadedComment ref="E24" dT="2026-04-21T06:53:49.39" personId="{918651CC-4668-4029-AC40-B5A7E5141811}" id="{BE986E03-8FB0-4066-A270-8BCFF2D68819}">
    <text>Toetus antud HTM-le.</text>
  </threadedComment>
  <threadedComment ref="AY28" dT="2026-04-20T11:15:35.97" personId="{918651CC-4668-4029-AC40-B5A7E5141811}" id="{D6D81621-42C4-44A3-AFB2-5DCBF8E3E8F9}">
    <text>Võetud üksnes kulud 09601 alt.</text>
  </threadedComment>
  <threadedComment ref="AY31" dT="2026-04-20T11:16:50.67" personId="{918651CC-4668-4029-AC40-B5A7E5141811}" id="{57FBAD09-F4BD-448E-A03E-E5E408A5CCAF}">
    <text>Võetud üksnes kulud 09601 alt.</text>
  </threadedComment>
  <threadedComment ref="AW39" dT="2026-04-20T11:51:49.85" personId="{918651CC-4668-4029-AC40-B5A7E5141811}" id="{407F34D1-2C90-47B7-9452-917418AC3EF7}">
    <text>Siin on arvutatud Vohnja lasteaias käivate koolilaste osakaal kogu valla lasteaialaste arvust, kuna osa kooli kulusid on hoopis lasteaia all. 
Vohnja lasteaias on koolilapsi 2023/2024 14 last; 2024/2025 13 last ja 2025/2026 16 last. Samas lasteaialapsi on 2023/2024 39 last; 2024/2025 25 last ja 2025/2026 23 last.</text>
  </threadedComment>
  <threadedComment ref="AY39" dT="2026-04-20T11:57:55.93" personId="{918651CC-4668-4029-AC40-B5A7E5141811}" id="{45C4201C-CEA5-4849-A5FF-AA801CA32B4F}">
    <text>Siin osa LAK kuludest nihutatud kooli kuludeks.</text>
  </threadedComment>
  <threadedComment ref="AY42" dT="2026-04-20T12:19:30.37" personId="{918651CC-4668-4029-AC40-B5A7E5141811}" id="{CA397D88-17D4-487B-BD58-0B21433F91F5}">
    <text>Lahutad kogukuludest personalikulud ja õppevahendid inventari majandamiskuluga ning liidetud juurde koolilõuna tegevusala kulud</text>
  </threadedComment>
  <threadedComment ref="AY43" dT="2026-04-20T12:46:43.89" personId="{918651CC-4668-4029-AC40-B5A7E5141811}" id="{E1905866-83AB-48C8-AC37-6F71DE1E159B}">
    <text>Siin arvestatud üksnes 5511 kinnistu majandamiskuluga.</text>
  </threadedComment>
  <threadedComment ref="AY49" dT="2026-04-21T11:18:42.32" personId="{918651CC-4668-4029-AC40-B5A7E5141811}" id="{F6BB11C5-5250-4999-A825-07F73B177058}">
    <text>Lahutatud tööjõukulu ja 5524 õppevahendid ja koolitus ning liidetud 09601 koolilõuna</text>
  </threadedComment>
  <threadedComment ref="AW50" dT="2026-04-20T11:51:49.85" personId="{918651CC-4668-4029-AC40-B5A7E5141811}" id="{17255379-FD77-4F48-A4D2-EEED3DDCD464}">
    <text>Siin on arvutatud LAK-is käivate koolilaste osakaal kogu valla lasteaialaste arvust, kuna osa kooli kulusid on lasteaia all. 
LAK-ides on koolilapsi 2023/2024 192 last; 2024/2025 197 last ja 2025/2026 215 last.</text>
  </threadedComment>
  <threadedComment ref="AY50" dT="2026-04-20T11:57:55.93" personId="{918651CC-4668-4029-AC40-B5A7E5141811}" id="{686DD494-CF21-4989-BC62-8F4FA98ED414}">
    <text>Siin osa LAK kuludest nihutatud kooli kuludeks. Sh lahutatud lasteaia õppevahendite kulu.</text>
  </threadedComment>
  <threadedComment ref="U54" dT="2026-06-12T07:09:17.42" personId="{918651CC-4668-4029-AC40-B5A7E5141811}" id="{B25E0AE2-4378-4B2A-B1CC-D0F59A1C530C}">
    <text>Sisaldab ühekordset hoone osa lammutamisest tingitud mahakandmise mõju summas 828 630 eurot.</text>
  </threadedComment>
  <threadedComment ref="AY58" dT="2026-04-20T12:27:35.41" personId="{918651CC-4668-4029-AC40-B5A7E5141811}" id="{929E211B-BF1E-4E0A-8A8E-1973E5C45AEA}">
    <text>Lahutatud tööjõukulud ja õppevahendite ja koolituste kontod 5524</text>
  </threadedComment>
  <threadedComment ref="U59" dT="2026-05-25T06:36:04.34" personId="{918651CC-4668-4029-AC40-B5A7E5141811}" id="{779C70D8-48E9-4C75-BA8C-64B5496C8A72}">
    <text>Rapla valla esitatud parandus.</text>
  </threadedComment>
  <threadedComment ref="AY63" dT="2026-04-21T11:23:50.90" personId="{918651CC-4668-4029-AC40-B5A7E5141811}" id="{EFC79C3E-7F33-4A63-A7E8-272FDE12C803}">
    <text>Lahutatud tööjõukulud ja 5524 õppevahendid ja koolitus</text>
  </threadedComment>
  <threadedComment ref="Y83" dT="2026-04-22T08:10:52.40" personId="{918651CC-4668-4029-AC40-B5A7E5141811}" id="{EE6E0A19-8685-4B8E-A0FF-D8587430031E}">
    <text>Sellest 20M on HTM-lt.</text>
  </threadedComment>
  <threadedComment ref="AC83" dT="2026-04-22T08:10:21.29" personId="{918651CC-4668-4029-AC40-B5A7E5141811}" id="{6F049501-AC77-4602-BFB9-3FC2BBDFAB77}">
    <text>Sellest 35 mln eurot on HTM-lt.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110"/>
  <sheetViews>
    <sheetView zoomScaleNormal="100" workbookViewId="0">
      <pane xSplit="2" ySplit="3" topLeftCell="BQ67" activePane="bottomRight" state="frozen"/>
      <selection pane="topRight" activeCell="B1" sqref="B1"/>
      <selection pane="bottomLeft" activeCell="A3" sqref="A3"/>
      <selection pane="bottomRight" activeCell="CE84" sqref="CE84"/>
    </sheetView>
  </sheetViews>
  <sheetFormatPr defaultRowHeight="14.5" x14ac:dyDescent="0.35"/>
  <cols>
    <col min="1" max="1" width="18.7265625" bestFit="1" customWidth="1"/>
    <col min="2" max="2" width="3.54296875" customWidth="1"/>
    <col min="3" max="3" width="10.36328125" customWidth="1"/>
    <col min="4" max="4" width="12.08984375" customWidth="1"/>
    <col min="5" max="5" width="11" customWidth="1"/>
    <col min="6" max="6" width="15.7265625" customWidth="1"/>
    <col min="7" max="7" width="9.7265625" customWidth="1"/>
    <col min="8" max="8" width="11.54296875" customWidth="1"/>
    <col min="9" max="10" width="13.7265625" customWidth="1"/>
    <col min="11" max="11" width="10.7265625" bestFit="1" customWidth="1"/>
    <col min="12" max="12" width="10.7265625" customWidth="1"/>
    <col min="13" max="13" width="11.90625" customWidth="1"/>
    <col min="14" max="14" width="11.26953125" customWidth="1"/>
    <col min="15" max="15" width="16.08984375" customWidth="1"/>
    <col min="16" max="16" width="8.7265625" customWidth="1"/>
    <col min="17" max="17" width="11.36328125" customWidth="1"/>
    <col min="18" max="19" width="14.08984375" customWidth="1"/>
    <col min="20" max="20" width="10.7265625" bestFit="1" customWidth="1"/>
    <col min="21" max="21" width="12.08984375" customWidth="1"/>
    <col min="22" max="24" width="16.7265625" customWidth="1"/>
    <col min="25" max="25" width="10.7265625" customWidth="1"/>
    <col min="26" max="26" width="10.54296875" bestFit="1" customWidth="1"/>
    <col min="27" max="27" width="11.81640625" customWidth="1"/>
    <col min="28" max="30" width="16.08984375" customWidth="1"/>
    <col min="31" max="31" width="10.36328125" customWidth="1"/>
    <col min="32" max="32" width="10.54296875" bestFit="1" customWidth="1"/>
    <col min="33" max="33" width="7.90625" bestFit="1" customWidth="1"/>
    <col min="34" max="34" width="5.26953125" bestFit="1" customWidth="1"/>
    <col min="35" max="35" width="6.7265625" bestFit="1" customWidth="1"/>
    <col min="36" max="36" width="8.6328125" customWidth="1"/>
    <col min="37" max="37" width="7.90625" bestFit="1" customWidth="1"/>
    <col min="38" max="38" width="5.26953125" bestFit="1" customWidth="1"/>
    <col min="39" max="39" width="6.7265625" bestFit="1" customWidth="1"/>
    <col min="40" max="40" width="8.6328125" customWidth="1"/>
    <col min="41" max="41" width="7.90625" bestFit="1" customWidth="1"/>
    <col min="42" max="42" width="5.26953125" bestFit="1" customWidth="1"/>
    <col min="43" max="43" width="6.7265625" bestFit="1" customWidth="1"/>
    <col min="44" max="44" width="8.81640625" customWidth="1"/>
    <col min="45" max="45" width="6.54296875" customWidth="1"/>
    <col min="46" max="51" width="6.6328125" customWidth="1"/>
    <col min="52" max="52" width="6.54296875" customWidth="1"/>
    <col min="53" max="53" width="11" customWidth="1"/>
    <col min="54" max="55" width="10.26953125" customWidth="1"/>
    <col min="56" max="56" width="7" customWidth="1"/>
    <col min="57" max="57" width="10.90625" customWidth="1"/>
    <col min="58" max="58" width="9.81640625" customWidth="1"/>
    <col min="59" max="59" width="16.6328125" customWidth="1"/>
    <col min="68" max="71" width="7.36328125" customWidth="1"/>
    <col min="73" max="74" width="9.81640625" customWidth="1"/>
    <col min="75" max="75" width="7.453125" customWidth="1"/>
    <col min="76" max="76" width="6.26953125" customWidth="1"/>
    <col min="77" max="77" width="8.26953125" customWidth="1"/>
    <col min="78" max="78" width="7.90625" customWidth="1"/>
    <col min="79" max="79" width="9" customWidth="1"/>
  </cols>
  <sheetData>
    <row r="1" spans="1:87" x14ac:dyDescent="0.35">
      <c r="A1" s="57" t="s">
        <v>169</v>
      </c>
      <c r="C1" s="65" t="s">
        <v>178</v>
      </c>
      <c r="D1" s="65"/>
      <c r="E1" s="65"/>
      <c r="F1" s="65"/>
      <c r="G1" s="65"/>
      <c r="H1" s="65"/>
      <c r="I1" s="65"/>
      <c r="J1" s="65"/>
      <c r="K1" s="65"/>
      <c r="L1" s="65"/>
      <c r="M1" s="65"/>
      <c r="N1" s="65"/>
      <c r="O1" s="65"/>
      <c r="P1" s="65"/>
      <c r="Q1" s="65"/>
      <c r="R1" s="65"/>
      <c r="S1" s="65"/>
      <c r="T1" s="65"/>
      <c r="U1" s="67" t="s">
        <v>177</v>
      </c>
      <c r="V1" s="67"/>
      <c r="W1" s="67"/>
      <c r="X1" s="67"/>
      <c r="Y1" s="67"/>
      <c r="Z1" s="67"/>
      <c r="AA1" s="67"/>
      <c r="AB1" s="67"/>
      <c r="AC1" s="67"/>
      <c r="AD1" s="67"/>
      <c r="AE1" s="67"/>
      <c r="AF1" s="67"/>
      <c r="AG1" s="64" t="s">
        <v>171</v>
      </c>
      <c r="AH1" s="68"/>
      <c r="AI1" s="69"/>
      <c r="AJ1" s="69"/>
      <c r="AK1" s="69"/>
      <c r="AL1" s="69"/>
      <c r="AM1" s="69"/>
      <c r="AN1" s="69"/>
      <c r="AO1" s="69"/>
      <c r="AP1" s="69"/>
      <c r="AQ1" s="69"/>
      <c r="AR1" s="69"/>
      <c r="AS1" s="69"/>
      <c r="AT1" s="70"/>
      <c r="AU1" s="71" t="s">
        <v>264</v>
      </c>
      <c r="AV1" s="80"/>
      <c r="AW1" s="80"/>
      <c r="AX1" s="80"/>
      <c r="AY1" s="81"/>
      <c r="AZ1" s="76" t="s">
        <v>182</v>
      </c>
      <c r="BA1" s="76"/>
      <c r="BB1" s="76"/>
      <c r="BC1" s="76"/>
      <c r="BD1" s="77"/>
      <c r="BE1" s="77"/>
      <c r="BF1" s="77"/>
      <c r="BG1" s="77"/>
      <c r="BH1" s="76" t="s">
        <v>185</v>
      </c>
      <c r="BI1" s="76"/>
      <c r="BJ1" s="76"/>
      <c r="BK1" s="76"/>
      <c r="BL1" s="78"/>
      <c r="BM1" s="60"/>
      <c r="BN1" s="60"/>
      <c r="BO1" s="60"/>
      <c r="BP1" s="74" t="s">
        <v>282</v>
      </c>
      <c r="BQ1" s="75"/>
      <c r="BR1" s="74" t="s">
        <v>299</v>
      </c>
      <c r="BS1" s="75"/>
      <c r="BU1" s="74" t="s">
        <v>208</v>
      </c>
      <c r="BV1" s="75"/>
      <c r="BW1" s="74" t="s">
        <v>277</v>
      </c>
      <c r="BX1" s="75"/>
      <c r="BY1" s="74" t="s">
        <v>266</v>
      </c>
      <c r="BZ1" s="75"/>
      <c r="CA1" s="16"/>
      <c r="CB1" s="66" t="s">
        <v>227</v>
      </c>
      <c r="CC1" s="67"/>
      <c r="CD1" s="67"/>
      <c r="CE1" s="73"/>
      <c r="CG1" t="s">
        <v>303</v>
      </c>
    </row>
    <row r="2" spans="1:87" ht="15" thickBot="1" x14ac:dyDescent="0.4">
      <c r="A2" s="57"/>
      <c r="B2" s="4"/>
      <c r="C2" s="61" t="s">
        <v>0</v>
      </c>
      <c r="D2" s="62"/>
      <c r="E2" s="62"/>
      <c r="F2" s="62"/>
      <c r="G2" s="62"/>
      <c r="H2" s="62"/>
      <c r="I2" s="62"/>
      <c r="J2" s="62"/>
      <c r="K2" s="63"/>
      <c r="L2" s="64" t="s">
        <v>1</v>
      </c>
      <c r="M2" s="62"/>
      <c r="N2" s="62"/>
      <c r="O2" s="62"/>
      <c r="P2" s="62"/>
      <c r="Q2" s="62"/>
      <c r="R2" s="62"/>
      <c r="S2" s="62"/>
      <c r="T2" s="63"/>
      <c r="U2" s="66">
        <v>2024</v>
      </c>
      <c r="V2" s="67"/>
      <c r="W2" s="67"/>
      <c r="X2" s="67"/>
      <c r="Y2" s="67"/>
      <c r="Z2" s="67"/>
      <c r="AA2" s="66">
        <v>2025</v>
      </c>
      <c r="AB2" s="67"/>
      <c r="AC2" s="67"/>
      <c r="AD2" s="67"/>
      <c r="AE2" s="67"/>
      <c r="AF2" s="67"/>
      <c r="AG2" s="58" t="s">
        <v>213</v>
      </c>
      <c r="AH2" s="59"/>
      <c r="AI2" s="60"/>
      <c r="AJ2" s="60"/>
      <c r="AK2" s="58" t="s">
        <v>207</v>
      </c>
      <c r="AL2" s="59"/>
      <c r="AM2" s="60"/>
      <c r="AN2" s="60"/>
      <c r="AO2" s="58" t="s">
        <v>181</v>
      </c>
      <c r="AP2" s="59"/>
      <c r="AQ2" s="60"/>
      <c r="AR2" s="60"/>
      <c r="AS2" s="71" t="s">
        <v>214</v>
      </c>
      <c r="AT2" s="72"/>
      <c r="AU2" s="71" t="s">
        <v>212</v>
      </c>
      <c r="AV2" s="80"/>
      <c r="AW2" s="80"/>
      <c r="AX2" s="71" t="s">
        <v>214</v>
      </c>
      <c r="AY2" s="72"/>
      <c r="AZ2" s="64">
        <v>2024</v>
      </c>
      <c r="BA2" s="68"/>
      <c r="BB2" s="68"/>
      <c r="BC2" s="82"/>
      <c r="BD2" s="58">
        <v>2025</v>
      </c>
      <c r="BE2" s="77"/>
      <c r="BF2" s="77"/>
      <c r="BG2" s="77"/>
      <c r="BH2" s="71">
        <v>2024</v>
      </c>
      <c r="BI2" s="83"/>
      <c r="BJ2" s="83"/>
      <c r="BK2" s="72"/>
      <c r="BL2" s="79">
        <v>2025</v>
      </c>
      <c r="BM2" s="60"/>
      <c r="BN2" s="60"/>
      <c r="BO2" s="60"/>
      <c r="BP2" s="74"/>
      <c r="BQ2" s="75"/>
      <c r="BR2" s="74"/>
      <c r="BS2" s="75"/>
      <c r="BU2" s="74"/>
      <c r="BV2" s="75"/>
      <c r="BW2" s="74"/>
      <c r="BX2" s="75"/>
      <c r="BY2" s="74"/>
      <c r="BZ2" s="75"/>
      <c r="CA2" s="16"/>
    </row>
    <row r="3" spans="1:87" ht="42" customHeight="1" x14ac:dyDescent="0.35">
      <c r="A3" s="57"/>
      <c r="B3" s="5" t="s">
        <v>3</v>
      </c>
      <c r="C3" s="6" t="s">
        <v>4</v>
      </c>
      <c r="D3" s="6" t="s">
        <v>5</v>
      </c>
      <c r="E3" s="6" t="s">
        <v>7</v>
      </c>
      <c r="F3" s="7" t="s">
        <v>179</v>
      </c>
      <c r="G3" s="7" t="s">
        <v>209</v>
      </c>
      <c r="H3" s="6" t="s">
        <v>8</v>
      </c>
      <c r="I3" s="8" t="s">
        <v>87</v>
      </c>
      <c r="J3" s="8" t="s">
        <v>226</v>
      </c>
      <c r="K3" s="9" t="s">
        <v>180</v>
      </c>
      <c r="L3" s="6" t="s">
        <v>4</v>
      </c>
      <c r="M3" s="6" t="s">
        <v>5</v>
      </c>
      <c r="N3" s="6" t="s">
        <v>7</v>
      </c>
      <c r="O3" s="7" t="s">
        <v>179</v>
      </c>
      <c r="P3" s="7" t="s">
        <v>209</v>
      </c>
      <c r="Q3" s="6" t="s">
        <v>8</v>
      </c>
      <c r="R3" s="8" t="s">
        <v>87</v>
      </c>
      <c r="S3" s="8" t="s">
        <v>226</v>
      </c>
      <c r="T3" s="9" t="s">
        <v>180</v>
      </c>
      <c r="U3" s="16" t="s">
        <v>175</v>
      </c>
      <c r="V3" s="22" t="s">
        <v>188</v>
      </c>
      <c r="W3" s="22" t="s">
        <v>189</v>
      </c>
      <c r="X3" s="22" t="s">
        <v>190</v>
      </c>
      <c r="Y3" s="22" t="s">
        <v>285</v>
      </c>
      <c r="Z3" s="16" t="s">
        <v>176</v>
      </c>
      <c r="AA3" s="16" t="s">
        <v>175</v>
      </c>
      <c r="AB3" s="22" t="s">
        <v>188</v>
      </c>
      <c r="AC3" s="22" t="s">
        <v>189</v>
      </c>
      <c r="AD3" s="22" t="s">
        <v>190</v>
      </c>
      <c r="AE3" s="22" t="s">
        <v>285</v>
      </c>
      <c r="AF3" s="16" t="s">
        <v>176</v>
      </c>
      <c r="AG3" s="6" t="s">
        <v>172</v>
      </c>
      <c r="AH3" s="6" t="s">
        <v>173</v>
      </c>
      <c r="AI3" s="6" t="s">
        <v>170</v>
      </c>
      <c r="AJ3" s="6" t="s">
        <v>183</v>
      </c>
      <c r="AK3" s="6" t="s">
        <v>172</v>
      </c>
      <c r="AL3" s="6" t="s">
        <v>173</v>
      </c>
      <c r="AM3" s="6" t="s">
        <v>170</v>
      </c>
      <c r="AN3" s="6" t="s">
        <v>183</v>
      </c>
      <c r="AO3" s="6" t="s">
        <v>172</v>
      </c>
      <c r="AP3" s="6" t="s">
        <v>173</v>
      </c>
      <c r="AQ3" s="6" t="s">
        <v>170</v>
      </c>
      <c r="AR3" s="6" t="s">
        <v>183</v>
      </c>
      <c r="AS3" s="23">
        <v>2024</v>
      </c>
      <c r="AT3" s="23">
        <v>2025</v>
      </c>
      <c r="AU3" s="39" t="s">
        <v>265</v>
      </c>
      <c r="AV3" s="53" t="s">
        <v>207</v>
      </c>
      <c r="AW3" s="39" t="s">
        <v>181</v>
      </c>
      <c r="AX3" s="23">
        <v>2024</v>
      </c>
      <c r="AY3" s="23">
        <v>2025</v>
      </c>
      <c r="AZ3" s="6" t="s">
        <v>170</v>
      </c>
      <c r="BA3" s="6" t="s">
        <v>184</v>
      </c>
      <c r="BB3" s="6" t="s">
        <v>210</v>
      </c>
      <c r="BC3" s="6" t="s">
        <v>211</v>
      </c>
      <c r="BD3" s="6" t="s">
        <v>170</v>
      </c>
      <c r="BE3" s="6" t="s">
        <v>184</v>
      </c>
      <c r="BF3" s="6" t="s">
        <v>210</v>
      </c>
      <c r="BG3" s="6" t="s">
        <v>211</v>
      </c>
      <c r="BH3" s="6" t="s">
        <v>166</v>
      </c>
      <c r="BI3" s="6" t="s">
        <v>186</v>
      </c>
      <c r="BJ3" s="6" t="s">
        <v>257</v>
      </c>
      <c r="BK3" s="6" t="s">
        <v>187</v>
      </c>
      <c r="BL3" s="6" t="s">
        <v>166</v>
      </c>
      <c r="BM3" s="6" t="s">
        <v>186</v>
      </c>
      <c r="BN3" s="6" t="s">
        <v>257</v>
      </c>
      <c r="BO3" s="6" t="s">
        <v>187</v>
      </c>
      <c r="BP3" s="26">
        <v>2024</v>
      </c>
      <c r="BQ3" s="26">
        <v>2025</v>
      </c>
      <c r="BR3" s="26">
        <v>2024</v>
      </c>
      <c r="BS3" s="26">
        <v>2025</v>
      </c>
      <c r="BT3" s="55" t="s">
        <v>298</v>
      </c>
      <c r="BU3" s="26" t="s">
        <v>207</v>
      </c>
      <c r="BV3" s="26" t="s">
        <v>181</v>
      </c>
      <c r="BW3" s="26">
        <v>2024</v>
      </c>
      <c r="BX3" s="26">
        <v>2025</v>
      </c>
      <c r="BY3" s="26">
        <v>2024</v>
      </c>
      <c r="BZ3" s="26">
        <v>2025</v>
      </c>
      <c r="CA3" s="26" t="s">
        <v>291</v>
      </c>
      <c r="CB3" s="26" t="s">
        <v>228</v>
      </c>
      <c r="CC3" s="26" t="s">
        <v>231</v>
      </c>
      <c r="CD3" s="26" t="s">
        <v>284</v>
      </c>
      <c r="CE3" s="26" t="s">
        <v>283</v>
      </c>
      <c r="CG3" s="55" t="s">
        <v>302</v>
      </c>
      <c r="CH3" s="55" t="s">
        <v>300</v>
      </c>
      <c r="CI3" s="55" t="s">
        <v>301</v>
      </c>
    </row>
    <row r="4" spans="1:87" ht="14.25" customHeight="1" x14ac:dyDescent="0.35">
      <c r="A4" t="s">
        <v>168</v>
      </c>
      <c r="B4" s="10" t="s">
        <v>9</v>
      </c>
      <c r="C4" s="11">
        <v>5439550.1600000001</v>
      </c>
      <c r="D4" s="11">
        <v>23350.799999999999</v>
      </c>
      <c r="E4" s="11">
        <v>34055163.059999987</v>
      </c>
      <c r="F4" s="11">
        <v>6275657.5199999996</v>
      </c>
      <c r="G4" s="11">
        <v>817781.47</v>
      </c>
      <c r="H4" s="11">
        <v>113739630.68000001</v>
      </c>
      <c r="I4" s="11">
        <v>3425404.83</v>
      </c>
      <c r="J4" s="11">
        <f>Kool!AY4</f>
        <v>0</v>
      </c>
      <c r="K4" s="12">
        <f>C4+D4+E4-F4+H4+I4+J4</f>
        <v>150407442.01000002</v>
      </c>
      <c r="L4" s="11">
        <v>5968419.9900000002</v>
      </c>
      <c r="M4" s="11">
        <v>1017671.94</v>
      </c>
      <c r="N4" s="11">
        <v>33061594.96000002</v>
      </c>
      <c r="O4" s="11">
        <v>5896009.5899999999</v>
      </c>
      <c r="P4" s="11">
        <v>1016671.99</v>
      </c>
      <c r="Q4" s="11">
        <v>112737764.73</v>
      </c>
      <c r="R4" s="11">
        <v>4236243.04</v>
      </c>
      <c r="S4" s="11">
        <f>Kool!AZ4</f>
        <v>0</v>
      </c>
      <c r="T4" s="12">
        <f>L4+M4+N4-O4+Q4+R4+S4</f>
        <v>151125685.07000002</v>
      </c>
      <c r="U4" s="11">
        <v>18590510.359999999</v>
      </c>
      <c r="V4" s="11">
        <v>11412758.92</v>
      </c>
      <c r="W4" s="11">
        <v>2109613.11</v>
      </c>
      <c r="X4" s="11"/>
      <c r="Y4" s="11">
        <v>1741584.03</v>
      </c>
      <c r="Z4" s="11">
        <v>2559893</v>
      </c>
      <c r="AA4" s="11">
        <v>14793517.49</v>
      </c>
      <c r="AB4" s="11">
        <v>8755823.1899999995</v>
      </c>
      <c r="AC4" s="11">
        <v>2867159.27</v>
      </c>
      <c r="AD4" s="11"/>
      <c r="AE4" s="11">
        <v>1525544.74</v>
      </c>
      <c r="AF4" s="11">
        <v>2493840</v>
      </c>
      <c r="AG4" s="33">
        <v>20126</v>
      </c>
      <c r="AH4" s="33">
        <v>152</v>
      </c>
      <c r="AI4" s="2">
        <f>SUM(AG4:AH4)</f>
        <v>20278</v>
      </c>
      <c r="AJ4" s="18">
        <f>AH4/AI4</f>
        <v>7.4958082651149028E-3</v>
      </c>
      <c r="AK4" s="33">
        <v>19088</v>
      </c>
      <c r="AL4" s="33">
        <v>157</v>
      </c>
      <c r="AM4" s="2">
        <f>SUM(AK4:AL4)</f>
        <v>19245</v>
      </c>
      <c r="AN4" s="18">
        <f>AL4/AM4</f>
        <v>8.1579631073005979E-3</v>
      </c>
      <c r="AO4" s="2">
        <v>17881</v>
      </c>
      <c r="AP4" s="2">
        <v>114</v>
      </c>
      <c r="AQ4" s="2">
        <f>SUM(AO4:AP4)</f>
        <v>17995</v>
      </c>
      <c r="AR4" s="18">
        <f>AP4/AQ4</f>
        <v>6.3350930814115034E-3</v>
      </c>
      <c r="AS4" s="34">
        <f t="shared" ref="AS4:AS35" si="0">AI4*2/3+AM4*1/3</f>
        <v>19933.666666666664</v>
      </c>
      <c r="AT4" s="34">
        <f t="shared" ref="AT4:AT35" si="1">AM4*2/3+AQ4*1/3</f>
        <v>18828.333333333332</v>
      </c>
      <c r="AU4" s="34">
        <v>1053</v>
      </c>
      <c r="AV4" s="34">
        <v>1037</v>
      </c>
      <c r="AW4" s="34">
        <v>1014</v>
      </c>
      <c r="AX4" s="34">
        <f>AU4*2/3+AV4*1/3</f>
        <v>1047.6666666666667</v>
      </c>
      <c r="AY4" s="34">
        <f>AV4*2/3+AW4*1/3</f>
        <v>1029.3333333333335</v>
      </c>
      <c r="AZ4" s="2">
        <f>K4/AS4/12</f>
        <v>628.78313911974726</v>
      </c>
      <c r="BA4" s="2">
        <f>H4/AS4/12</f>
        <v>475.49217688667426</v>
      </c>
      <c r="BB4" s="2">
        <f>(G4+I4)/AS4/12</f>
        <v>17.738776525476165</v>
      </c>
      <c r="BC4" s="2">
        <f>AZ4-BA4-BB4</f>
        <v>135.55218570759683</v>
      </c>
      <c r="BD4" s="2">
        <f t="shared" ref="BD4:BD35" si="2">T4/AT4/12</f>
        <v>668.875299061698</v>
      </c>
      <c r="BE4" s="2">
        <f>Q4/AT4/12</f>
        <v>498.97213742586536</v>
      </c>
      <c r="BF4" s="2">
        <f>(R4+P4)/AT4/12</f>
        <v>23.249159201557941</v>
      </c>
      <c r="BG4" s="2">
        <f>BD4-BE4-BF4</f>
        <v>146.6540024342747</v>
      </c>
      <c r="BH4" s="2">
        <f>(K4-U4-Z4)/AS4/12</f>
        <v>540.36319898496697</v>
      </c>
      <c r="BI4" s="2">
        <f>(V4+W4+X4)/AS4/12</f>
        <v>56.530710314208797</v>
      </c>
      <c r="BJ4" s="2">
        <f>Y4/AS4/12</f>
        <v>7.2807479389976768</v>
      </c>
      <c r="BK4" s="2">
        <f>AZ4-BH4-BI4-BJ4</f>
        <v>24.608481881573816</v>
      </c>
      <c r="BL4" s="2">
        <f t="shared" ref="BL4:BL35" si="3">(T4-AA4-AF4)/AT4/12</f>
        <v>592.36225360715241</v>
      </c>
      <c r="BM4" s="20">
        <f>(AB4+AC4+AD4)/AT4/12</f>
        <v>51.442783305302292</v>
      </c>
      <c r="BN4" s="20">
        <f>AE4/AT4/12</f>
        <v>6.751990528458883</v>
      </c>
      <c r="BO4" s="2">
        <f>BD4-BL4-BM4-BN4</f>
        <v>18.318271620784415</v>
      </c>
      <c r="BP4" s="18">
        <f>BA4/AZ4</f>
        <v>0.75621012604175475</v>
      </c>
      <c r="BQ4" s="18">
        <f>BE4/BD4</f>
        <v>0.74598679025197412</v>
      </c>
      <c r="BR4" s="18">
        <f>BI4/AZ4</f>
        <v>8.9904939870601275E-2</v>
      </c>
      <c r="BS4" s="18">
        <f>BM4/BD4</f>
        <v>7.6909378141884616E-2</v>
      </c>
      <c r="BT4" s="29">
        <f>BD4/Kool!BJ4</f>
        <v>1.5418978195376938</v>
      </c>
      <c r="BU4" s="27">
        <v>19.420000000000002</v>
      </c>
      <c r="BV4" s="27">
        <v>18.649999999999999</v>
      </c>
      <c r="BW4" s="27">
        <f>AS4/AX4</f>
        <v>19.026726057906455</v>
      </c>
      <c r="BX4" s="27">
        <f>AT4/AY4</f>
        <v>18.29177461139896</v>
      </c>
      <c r="BY4" s="2">
        <v>1918.9133133148389</v>
      </c>
      <c r="BZ4" s="2">
        <v>1957.2689711124319</v>
      </c>
      <c r="CA4" s="2">
        <v>636.79999999999995</v>
      </c>
      <c r="CB4" s="29">
        <v>1</v>
      </c>
      <c r="CC4">
        <v>461602</v>
      </c>
      <c r="CD4" s="18">
        <v>1.285015411446089</v>
      </c>
      <c r="CE4" t="s">
        <v>232</v>
      </c>
      <c r="CG4" s="27">
        <f>BX4</f>
        <v>18.29177461139896</v>
      </c>
      <c r="CH4" s="2">
        <f>BZ4</f>
        <v>1957.2689711124319</v>
      </c>
      <c r="CI4" s="56">
        <f>CD4</f>
        <v>1.285015411446089</v>
      </c>
    </row>
    <row r="5" spans="1:87" ht="14.25" customHeight="1" x14ac:dyDescent="0.35">
      <c r="A5" t="s">
        <v>164</v>
      </c>
      <c r="B5" s="10" t="s">
        <v>10</v>
      </c>
      <c r="C5" s="11">
        <v>51619.77</v>
      </c>
      <c r="D5" s="11">
        <v>685.85</v>
      </c>
      <c r="E5" s="11">
        <v>390828.8000000001</v>
      </c>
      <c r="F5" s="11">
        <v>60480.639999999999</v>
      </c>
      <c r="G5" s="11">
        <v>2450</v>
      </c>
      <c r="H5" s="11">
        <v>2119296.13</v>
      </c>
      <c r="I5" s="11">
        <v>209620.65</v>
      </c>
      <c r="J5" s="11">
        <f>Kool!AY5</f>
        <v>17421.344210786214</v>
      </c>
      <c r="K5" s="12">
        <f t="shared" ref="K5:K68" si="4">C5+D5+E5-F5+H5+I5+J5</f>
        <v>2728991.9042107863</v>
      </c>
      <c r="L5" s="11">
        <v>56145.2</v>
      </c>
      <c r="M5" s="13"/>
      <c r="N5" s="11">
        <v>385552.27000000008</v>
      </c>
      <c r="O5" s="11">
        <v>48285.62</v>
      </c>
      <c r="P5" s="11">
        <v>0</v>
      </c>
      <c r="Q5" s="11">
        <v>2276952.2000000002</v>
      </c>
      <c r="R5" s="11">
        <v>258895.41</v>
      </c>
      <c r="S5" s="11">
        <f>Kool!AZ5</f>
        <v>26759.219685914879</v>
      </c>
      <c r="T5" s="12">
        <f t="shared" ref="T5:T68" si="5">L5+M5+N5-O5+Q5+R5+S5</f>
        <v>2956018.6796859154</v>
      </c>
      <c r="U5" s="11">
        <v>399218.02000000008</v>
      </c>
      <c r="V5" s="11">
        <v>199774.55</v>
      </c>
      <c r="W5" s="11">
        <v>105544.62</v>
      </c>
      <c r="X5" s="11"/>
      <c r="Y5" s="11">
        <v>83166</v>
      </c>
      <c r="Z5" s="11">
        <v>118815</v>
      </c>
      <c r="AA5" s="11">
        <v>506628.46</v>
      </c>
      <c r="AB5" s="11">
        <v>223178.97</v>
      </c>
      <c r="AC5" s="11">
        <v>117517.09</v>
      </c>
      <c r="AD5" s="11"/>
      <c r="AE5" s="11">
        <v>141363</v>
      </c>
      <c r="AF5" s="11">
        <v>119129</v>
      </c>
      <c r="AG5" s="33">
        <v>303</v>
      </c>
      <c r="AH5" s="33">
        <v>47</v>
      </c>
      <c r="AI5" s="2">
        <f t="shared" ref="AI5:AI68" si="6">SUM(AG5:AH5)</f>
        <v>350</v>
      </c>
      <c r="AJ5" s="18">
        <f t="shared" ref="AJ5:AJ68" si="7">AH5/AI5</f>
        <v>0.13428571428571429</v>
      </c>
      <c r="AK5" s="33">
        <v>249</v>
      </c>
      <c r="AL5" s="33">
        <v>97</v>
      </c>
      <c r="AM5" s="2">
        <f t="shared" ref="AM5:AM68" si="8">SUM(AK5:AL5)</f>
        <v>346</v>
      </c>
      <c r="AN5" s="18">
        <f t="shared" ref="AN5:AN68" si="9">AL5/AM5</f>
        <v>0.28034682080924855</v>
      </c>
      <c r="AO5" s="2">
        <v>249</v>
      </c>
      <c r="AP5" s="2">
        <v>93</v>
      </c>
      <c r="AQ5" s="2">
        <f t="shared" ref="AQ5:AQ68" si="10">SUM(AO5:AP5)</f>
        <v>342</v>
      </c>
      <c r="AR5" s="18">
        <f t="shared" ref="AR5:AR68" si="11">AP5/AQ5</f>
        <v>0.27192982456140352</v>
      </c>
      <c r="AS5" s="34">
        <f t="shared" si="0"/>
        <v>348.66666666666669</v>
      </c>
      <c r="AT5" s="34">
        <f t="shared" si="1"/>
        <v>344.66666666666663</v>
      </c>
      <c r="AU5" s="34">
        <v>21</v>
      </c>
      <c r="AV5" s="34">
        <v>21</v>
      </c>
      <c r="AW5" s="34">
        <v>21</v>
      </c>
      <c r="AX5" s="34">
        <f t="shared" ref="AX5:AX68" si="12">AU5*2/3+AV5*1/3</f>
        <v>21</v>
      </c>
      <c r="AY5" s="34">
        <f t="shared" ref="AY5:AY68" si="13">AV5*2/3+AW5*1/3</f>
        <v>21</v>
      </c>
      <c r="AZ5" s="2">
        <f t="shared" ref="AZ5:AZ68" si="14">K5/AS5/12</f>
        <v>652.24471897963338</v>
      </c>
      <c r="BA5" s="2">
        <f t="shared" ref="BA5:BA68" si="15">H5/AS5/12</f>
        <v>506.52393164435944</v>
      </c>
      <c r="BB5" s="2">
        <f t="shared" ref="BB5:BB68" si="16">(G5+I5)/AS5/12</f>
        <v>50.686101816443589</v>
      </c>
      <c r="BC5" s="2">
        <f t="shared" ref="BC5:BC68" si="17">AZ5-BA5-BB5</f>
        <v>95.034685518830344</v>
      </c>
      <c r="BD5" s="2">
        <f t="shared" si="2"/>
        <v>714.70470978866433</v>
      </c>
      <c r="BE5" s="2">
        <f t="shared" ref="BE5:BE68" si="18">Q5/AT5/12</f>
        <v>550.52035783365579</v>
      </c>
      <c r="BF5" s="2">
        <f t="shared" ref="BF5:BF68" si="19">(R5+P5)/AT5/12</f>
        <v>62.595602030947788</v>
      </c>
      <c r="BG5" s="2">
        <f t="shared" ref="BG5:BG68" si="20">BD5-BE5-BF5</f>
        <v>101.58874992406075</v>
      </c>
      <c r="BH5" s="2">
        <f t="shared" ref="BH5:BH68" si="21">(K5-U5-Z5)/AS5/12</f>
        <v>528.43185569091452</v>
      </c>
      <c r="BI5" s="2">
        <f t="shared" ref="BI5:BI68" si="22">(V5+W5+X5)/AS5/12</f>
        <v>72.97303298279158</v>
      </c>
      <c r="BJ5" s="2">
        <f t="shared" ref="BJ5:BJ68" si="23">Y5/AS5/12</f>
        <v>19.877151051625237</v>
      </c>
      <c r="BK5" s="2">
        <f t="shared" ref="BK5:BK68" si="24">AZ5-BH5-BI5-BJ5</f>
        <v>30.962679254302042</v>
      </c>
      <c r="BL5" s="2">
        <f t="shared" si="3"/>
        <v>563.4093858041382</v>
      </c>
      <c r="BM5" s="20">
        <f t="shared" ref="BM5:BM68" si="25">(AB5+AC5+AD5)/AT5/12</f>
        <v>82.373322050290142</v>
      </c>
      <c r="BN5" s="20">
        <f t="shared" ref="BN5:BN68" si="26">AE5/AT5/12</f>
        <v>34.178675048355906</v>
      </c>
      <c r="BO5" s="2">
        <f t="shared" ref="BO5:BO68" si="27">BD5-BL5-BM5-BN5</f>
        <v>34.743326885880087</v>
      </c>
      <c r="BP5" s="18">
        <f t="shared" ref="BP5:BP68" si="28">BA5/AZ5</f>
        <v>0.77658571530753295</v>
      </c>
      <c r="BQ5" s="18">
        <f t="shared" ref="BQ5:BQ68" si="29">BE5/BD5</f>
        <v>0.77027666152702801</v>
      </c>
      <c r="BR5" s="18">
        <f t="shared" ref="BR5:BR68" si="30">BI5/AZ5</f>
        <v>0.11187983721347722</v>
      </c>
      <c r="BS5" s="18">
        <f t="shared" ref="BS5:BS68" si="31">BM5/BD5</f>
        <v>0.1152550429878203</v>
      </c>
      <c r="BT5" s="29">
        <f>BD5/Kool!BJ5</f>
        <v>1.2908524593750168</v>
      </c>
      <c r="BU5" s="27">
        <v>16.43</v>
      </c>
      <c r="BV5" s="27">
        <v>16.29</v>
      </c>
      <c r="BW5" s="27">
        <f t="shared" ref="BW5:BW68" si="32">AS5/AX5</f>
        <v>16.603174603174605</v>
      </c>
      <c r="BX5" s="27">
        <f t="shared" ref="BX5:BX68" si="33">AT5/AY5</f>
        <v>16.412698412698411</v>
      </c>
      <c r="BY5" s="2">
        <v>1636.428354546211</v>
      </c>
      <c r="BZ5" s="2">
        <v>1695.5330267558529</v>
      </c>
      <c r="CA5" s="2">
        <f>VLOOKUP(A5,'[1]kaugused autoga'!$A$3:$B$82,2,FALSE)</f>
        <v>2732.3</v>
      </c>
      <c r="CB5" s="29">
        <v>1.4</v>
      </c>
      <c r="CC5">
        <v>6363</v>
      </c>
      <c r="CD5" s="18">
        <v>1.0291037194421502</v>
      </c>
      <c r="CE5" t="s">
        <v>233</v>
      </c>
      <c r="CG5" s="27">
        <f t="shared" ref="CG5:CG68" si="34">BX5</f>
        <v>16.412698412698411</v>
      </c>
      <c r="CH5" s="2">
        <f t="shared" ref="CH5:CH68" si="35">BZ5</f>
        <v>1695.5330267558529</v>
      </c>
      <c r="CI5" s="56">
        <f t="shared" ref="CI5:CI68" si="36">CD5</f>
        <v>1.0291037194421502</v>
      </c>
    </row>
    <row r="6" spans="1:87" ht="14.25" customHeight="1" x14ac:dyDescent="0.35">
      <c r="A6" t="s">
        <v>159</v>
      </c>
      <c r="B6" s="10" t="s">
        <v>11</v>
      </c>
      <c r="C6" s="11">
        <v>510080.51</v>
      </c>
      <c r="D6" s="11">
        <v>188.64</v>
      </c>
      <c r="E6" s="11">
        <v>3883099.09</v>
      </c>
      <c r="F6" s="11">
        <v>1639177.63</v>
      </c>
      <c r="G6" s="11">
        <v>500236.02</v>
      </c>
      <c r="H6" s="11">
        <v>7442606.9100000001</v>
      </c>
      <c r="I6" s="11">
        <v>449393.14</v>
      </c>
      <c r="J6" s="11">
        <f>Kool!AY6</f>
        <v>24472.48366111947</v>
      </c>
      <c r="K6" s="12">
        <f t="shared" si="4"/>
        <v>10670663.143661119</v>
      </c>
      <c r="L6" s="11">
        <v>515228.05</v>
      </c>
      <c r="M6" s="11">
        <v>3000.79</v>
      </c>
      <c r="N6" s="11">
        <v>3074716.6700000009</v>
      </c>
      <c r="O6" s="11">
        <v>895382.92</v>
      </c>
      <c r="P6" s="11">
        <v>455550.45</v>
      </c>
      <c r="Q6" s="11">
        <v>8240545.3399999999</v>
      </c>
      <c r="R6" s="11">
        <v>469258.2</v>
      </c>
      <c r="S6" s="11">
        <f>Kool!AZ6</f>
        <v>34623.910282356803</v>
      </c>
      <c r="T6" s="12">
        <f t="shared" si="5"/>
        <v>11441990.040282356</v>
      </c>
      <c r="U6" s="11">
        <v>1575086.8</v>
      </c>
      <c r="V6" s="11">
        <v>811057.45000000007</v>
      </c>
      <c r="W6" s="11">
        <v>424776.31</v>
      </c>
      <c r="X6" s="11"/>
      <c r="Y6" s="11">
        <v>144295.09</v>
      </c>
      <c r="Z6" s="11">
        <v>120249</v>
      </c>
      <c r="AA6" s="11">
        <v>1713056.35</v>
      </c>
      <c r="AB6" s="11">
        <v>993249.35</v>
      </c>
      <c r="AC6" s="11">
        <v>428438.42</v>
      </c>
      <c r="AD6" s="11"/>
      <c r="AE6" s="11">
        <v>165266.38</v>
      </c>
      <c r="AF6" s="11">
        <v>133059</v>
      </c>
      <c r="AG6" s="33">
        <v>1107</v>
      </c>
      <c r="AH6" s="33">
        <v>30</v>
      </c>
      <c r="AI6" s="2">
        <f t="shared" si="6"/>
        <v>1137</v>
      </c>
      <c r="AJ6" s="18">
        <f t="shared" si="7"/>
        <v>2.6385224274406333E-2</v>
      </c>
      <c r="AK6" s="33">
        <v>1225</v>
      </c>
      <c r="AL6" s="33">
        <v>30</v>
      </c>
      <c r="AM6" s="2">
        <f t="shared" si="8"/>
        <v>1255</v>
      </c>
      <c r="AN6" s="18">
        <f t="shared" si="9"/>
        <v>2.3904382470119521E-2</v>
      </c>
      <c r="AO6" s="2">
        <v>1220</v>
      </c>
      <c r="AP6" s="2">
        <v>30</v>
      </c>
      <c r="AQ6" s="2">
        <f t="shared" si="10"/>
        <v>1250</v>
      </c>
      <c r="AR6" s="18">
        <f t="shared" si="11"/>
        <v>2.4E-2</v>
      </c>
      <c r="AS6" s="34">
        <f t="shared" si="0"/>
        <v>1176.3333333333333</v>
      </c>
      <c r="AT6" s="34">
        <f t="shared" si="1"/>
        <v>1253.3333333333333</v>
      </c>
      <c r="AU6" s="34">
        <v>62</v>
      </c>
      <c r="AV6" s="34">
        <v>72</v>
      </c>
      <c r="AW6" s="34">
        <v>72</v>
      </c>
      <c r="AX6" s="34">
        <f t="shared" si="12"/>
        <v>65.333333333333343</v>
      </c>
      <c r="AY6" s="34">
        <f t="shared" si="13"/>
        <v>72</v>
      </c>
      <c r="AZ6" s="2">
        <f t="shared" si="14"/>
        <v>755.92683080625682</v>
      </c>
      <c r="BA6" s="2">
        <f t="shared" si="15"/>
        <v>527.24616817795413</v>
      </c>
      <c r="BB6" s="2">
        <f t="shared" si="16"/>
        <v>67.273247378860873</v>
      </c>
      <c r="BC6" s="2">
        <f t="shared" si="17"/>
        <v>161.40741524944181</v>
      </c>
      <c r="BD6" s="2">
        <f t="shared" si="2"/>
        <v>760.77061438047576</v>
      </c>
      <c r="BE6" s="2">
        <f t="shared" si="18"/>
        <v>547.90859973404258</v>
      </c>
      <c r="BF6" s="2">
        <f t="shared" si="19"/>
        <v>61.489936835106391</v>
      </c>
      <c r="BG6" s="2">
        <f t="shared" si="20"/>
        <v>151.37207781132679</v>
      </c>
      <c r="BH6" s="2">
        <f t="shared" si="21"/>
        <v>635.82653327154424</v>
      </c>
      <c r="BI6" s="2">
        <f t="shared" si="22"/>
        <v>87.548438651175971</v>
      </c>
      <c r="BJ6" s="2">
        <f t="shared" si="23"/>
        <v>10.222094786058374</v>
      </c>
      <c r="BK6" s="2">
        <f t="shared" si="24"/>
        <v>22.329764097478236</v>
      </c>
      <c r="BL6" s="2">
        <f t="shared" si="3"/>
        <v>638.0235831304758</v>
      </c>
      <c r="BM6" s="20">
        <f t="shared" si="25"/>
        <v>94.527112367021289</v>
      </c>
      <c r="BN6" s="20">
        <f t="shared" si="26"/>
        <v>10.988456117021277</v>
      </c>
      <c r="BO6" s="2">
        <f t="shared" si="27"/>
        <v>17.231462765957396</v>
      </c>
      <c r="BP6" s="18">
        <f t="shared" si="28"/>
        <v>0.69748307202643367</v>
      </c>
      <c r="BQ6" s="18">
        <f t="shared" si="29"/>
        <v>0.72020210741213397</v>
      </c>
      <c r="BR6" s="18">
        <f t="shared" si="30"/>
        <v>0.11581602224357947</v>
      </c>
      <c r="BS6" s="18">
        <f t="shared" si="31"/>
        <v>0.12425179230141307</v>
      </c>
      <c r="BT6" s="29">
        <f>BD6/Kool!BJ6</f>
        <v>1.529719637793189</v>
      </c>
      <c r="BU6" s="27">
        <v>17.63</v>
      </c>
      <c r="BV6" s="27">
        <v>17.57</v>
      </c>
      <c r="BW6" s="27">
        <f t="shared" si="32"/>
        <v>18.005102040816322</v>
      </c>
      <c r="BX6" s="27">
        <f t="shared" si="33"/>
        <v>17.407407407407405</v>
      </c>
      <c r="BY6" s="2">
        <v>2093.4225347222218</v>
      </c>
      <c r="BZ6" s="2">
        <v>1958.4158926234479</v>
      </c>
      <c r="CA6" s="2">
        <f>VLOOKUP(A6,'[1]kaugused autoga'!$A$3:$B$82,2,FALSE)</f>
        <v>2071.1</v>
      </c>
      <c r="CB6" s="29">
        <v>1.1299999999999999</v>
      </c>
      <c r="CC6">
        <v>18471</v>
      </c>
      <c r="CD6" s="18">
        <v>1.2061774603694948</v>
      </c>
      <c r="CE6" t="s">
        <v>232</v>
      </c>
      <c r="CG6" s="27">
        <f t="shared" si="34"/>
        <v>17.407407407407405</v>
      </c>
      <c r="CH6" s="2">
        <f t="shared" si="35"/>
        <v>1958.4158926234479</v>
      </c>
      <c r="CI6" s="56">
        <f t="shared" si="36"/>
        <v>1.2061774603694948</v>
      </c>
    </row>
    <row r="7" spans="1:87" ht="14.25" customHeight="1" x14ac:dyDescent="0.35">
      <c r="A7" t="s">
        <v>155</v>
      </c>
      <c r="B7" s="10" t="s">
        <v>12</v>
      </c>
      <c r="C7" s="11">
        <v>98940.430000000008</v>
      </c>
      <c r="D7" s="13"/>
      <c r="E7" s="11">
        <v>761040.61999999988</v>
      </c>
      <c r="F7" s="11">
        <v>240020.53</v>
      </c>
      <c r="G7" s="11"/>
      <c r="H7" s="11">
        <v>2873721.79</v>
      </c>
      <c r="I7" s="11">
        <v>359422.28</v>
      </c>
      <c r="J7" s="11">
        <f>Kool!AY7</f>
        <v>0</v>
      </c>
      <c r="K7" s="12">
        <f t="shared" si="4"/>
        <v>3853104.59</v>
      </c>
      <c r="L7" s="11">
        <v>108660.95</v>
      </c>
      <c r="M7" s="13"/>
      <c r="N7" s="11">
        <v>855732.34999999986</v>
      </c>
      <c r="O7" s="11">
        <v>314138.14</v>
      </c>
      <c r="P7" s="11"/>
      <c r="Q7" s="11">
        <v>3032235.8499999992</v>
      </c>
      <c r="R7" s="11">
        <v>368707.86</v>
      </c>
      <c r="S7" s="11">
        <f>Kool!AZ7</f>
        <v>0</v>
      </c>
      <c r="T7" s="12">
        <f t="shared" si="5"/>
        <v>4051198.8699999987</v>
      </c>
      <c r="U7" s="11">
        <v>293653.39</v>
      </c>
      <c r="V7" s="11">
        <v>11439.47</v>
      </c>
      <c r="W7" s="11">
        <v>171892.91</v>
      </c>
      <c r="X7" s="11">
        <v>560</v>
      </c>
      <c r="Y7" s="11">
        <v>29140.01</v>
      </c>
      <c r="Z7" s="11">
        <v>78805</v>
      </c>
      <c r="AA7" s="11">
        <v>260108.46</v>
      </c>
      <c r="AB7" s="11">
        <v>11953.04</v>
      </c>
      <c r="AC7" s="11">
        <v>177206.52</v>
      </c>
      <c r="AD7" s="11"/>
      <c r="AE7" s="11">
        <v>29033.18</v>
      </c>
      <c r="AF7" s="11">
        <v>82335</v>
      </c>
      <c r="AG7" s="33">
        <v>432</v>
      </c>
      <c r="AH7" s="33">
        <v>0</v>
      </c>
      <c r="AI7" s="2">
        <f t="shared" si="6"/>
        <v>432</v>
      </c>
      <c r="AJ7" s="18">
        <f t="shared" si="7"/>
        <v>0</v>
      </c>
      <c r="AK7" s="33">
        <v>457</v>
      </c>
      <c r="AL7" s="33">
        <v>0</v>
      </c>
      <c r="AM7" s="2">
        <f t="shared" si="8"/>
        <v>457</v>
      </c>
      <c r="AN7" s="18">
        <f t="shared" si="9"/>
        <v>0</v>
      </c>
      <c r="AO7" s="2">
        <v>440</v>
      </c>
      <c r="AP7" s="2">
        <v>0</v>
      </c>
      <c r="AQ7" s="2">
        <f t="shared" si="10"/>
        <v>440</v>
      </c>
      <c r="AR7" s="18">
        <f t="shared" si="11"/>
        <v>0</v>
      </c>
      <c r="AS7" s="34">
        <f t="shared" si="0"/>
        <v>440.33333333333337</v>
      </c>
      <c r="AT7" s="34">
        <f t="shared" si="1"/>
        <v>451.33333333333337</v>
      </c>
      <c r="AU7" s="34">
        <v>26</v>
      </c>
      <c r="AV7" s="34">
        <v>27</v>
      </c>
      <c r="AW7" s="34">
        <v>28</v>
      </c>
      <c r="AX7" s="34">
        <f t="shared" si="12"/>
        <v>26.333333333333332</v>
      </c>
      <c r="AY7" s="34">
        <f t="shared" si="13"/>
        <v>27.333333333333336</v>
      </c>
      <c r="AZ7" s="2">
        <f t="shared" si="14"/>
        <v>729.20223126419376</v>
      </c>
      <c r="BA7" s="2">
        <f t="shared" si="15"/>
        <v>543.85348031794092</v>
      </c>
      <c r="BB7" s="2">
        <f t="shared" si="16"/>
        <v>68.020870552611655</v>
      </c>
      <c r="BC7" s="2">
        <f t="shared" si="17"/>
        <v>117.32788039364118</v>
      </c>
      <c r="BD7" s="2">
        <f t="shared" si="2"/>
        <v>748.00569977843395</v>
      </c>
      <c r="BE7" s="2">
        <f t="shared" si="18"/>
        <v>559.866294313146</v>
      </c>
      <c r="BF7" s="2">
        <f t="shared" si="19"/>
        <v>68.07752215657311</v>
      </c>
      <c r="BG7" s="2">
        <f t="shared" si="20"/>
        <v>120.06188330871484</v>
      </c>
      <c r="BH7" s="2">
        <f t="shared" si="21"/>
        <v>658.7142694928084</v>
      </c>
      <c r="BI7" s="2">
        <f t="shared" si="22"/>
        <v>34.801737320211963</v>
      </c>
      <c r="BJ7" s="2">
        <f t="shared" si="23"/>
        <v>5.51476343679031</v>
      </c>
      <c r="BK7" s="2">
        <f t="shared" si="24"/>
        <v>30.171461014383084</v>
      </c>
      <c r="BL7" s="2">
        <f t="shared" si="3"/>
        <v>684.77758677991108</v>
      </c>
      <c r="BM7" s="20">
        <f t="shared" si="25"/>
        <v>34.926063515509597</v>
      </c>
      <c r="BN7" s="20">
        <f t="shared" si="26"/>
        <v>5.3606314623338251</v>
      </c>
      <c r="BO7" s="2">
        <f t="shared" si="27"/>
        <v>22.941418020679453</v>
      </c>
      <c r="BP7" s="18">
        <f t="shared" si="28"/>
        <v>0.74581982473514952</v>
      </c>
      <c r="BQ7" s="18">
        <f t="shared" si="29"/>
        <v>0.74847864726028623</v>
      </c>
      <c r="BR7" s="18">
        <f t="shared" si="30"/>
        <v>4.7725769105063411E-2</v>
      </c>
      <c r="BS7" s="18">
        <f t="shared" si="31"/>
        <v>4.6692242486728396E-2</v>
      </c>
      <c r="BT7" s="29">
        <f>BD7/Kool!BJ7</f>
        <v>1.3283895678357267</v>
      </c>
      <c r="BU7" s="27">
        <v>17.12</v>
      </c>
      <c r="BV7" s="27">
        <v>16.27</v>
      </c>
      <c r="BW7" s="27">
        <f t="shared" si="32"/>
        <v>16.721518987341774</v>
      </c>
      <c r="BX7" s="27">
        <f t="shared" si="33"/>
        <v>16.512195121951219</v>
      </c>
      <c r="BY7" s="2">
        <v>1736.7000639522489</v>
      </c>
      <c r="BZ7" s="2">
        <v>1803.5362204724411</v>
      </c>
      <c r="CA7" s="2">
        <f>VLOOKUP(A7,'[1]kaugused autoga'!$A$3:$B$82,2,FALSE)</f>
        <v>2494.8000000000002</v>
      </c>
      <c r="CB7" s="29">
        <v>1.47</v>
      </c>
      <c r="CC7">
        <v>7731</v>
      </c>
      <c r="CD7" s="18">
        <v>1.090403687211974</v>
      </c>
      <c r="CE7" t="s">
        <v>233</v>
      </c>
      <c r="CG7" s="27">
        <f t="shared" si="34"/>
        <v>16.512195121951219</v>
      </c>
      <c r="CH7" s="2">
        <f t="shared" si="35"/>
        <v>1803.5362204724411</v>
      </c>
      <c r="CI7" s="56">
        <f t="shared" si="36"/>
        <v>1.090403687211974</v>
      </c>
    </row>
    <row r="8" spans="1:87" ht="14.25" customHeight="1" x14ac:dyDescent="0.35">
      <c r="A8" t="s">
        <v>147</v>
      </c>
      <c r="B8" s="10" t="s">
        <v>13</v>
      </c>
      <c r="C8" s="11">
        <v>147336.57</v>
      </c>
      <c r="D8" s="13"/>
      <c r="E8" s="11">
        <v>2111694.66</v>
      </c>
      <c r="F8" s="11">
        <v>1389743.2</v>
      </c>
      <c r="G8" s="11">
        <v>54628.84</v>
      </c>
      <c r="H8" s="11">
        <v>2925224.72</v>
      </c>
      <c r="I8" s="11">
        <v>244166.66</v>
      </c>
      <c r="J8" s="11">
        <f>Kool!AY8</f>
        <v>0</v>
      </c>
      <c r="K8" s="12">
        <f t="shared" si="4"/>
        <v>4038679.41</v>
      </c>
      <c r="L8" s="11">
        <v>134571.24</v>
      </c>
      <c r="M8" s="13"/>
      <c r="N8" s="11">
        <v>2083679.74</v>
      </c>
      <c r="O8" s="11">
        <v>1534748.42</v>
      </c>
      <c r="P8" s="11">
        <v>27314.639999999999</v>
      </c>
      <c r="Q8" s="11">
        <v>3046554.51</v>
      </c>
      <c r="R8" s="11">
        <v>235165.57</v>
      </c>
      <c r="S8" s="11">
        <f>Kool!AZ8</f>
        <v>0</v>
      </c>
      <c r="T8" s="12">
        <f t="shared" si="5"/>
        <v>3965222.6399999997</v>
      </c>
      <c r="U8" s="11">
        <v>632025.30000000005</v>
      </c>
      <c r="V8" s="11">
        <v>530851</v>
      </c>
      <c r="W8" s="11">
        <v>30425.3</v>
      </c>
      <c r="X8" s="11"/>
      <c r="Y8" s="11">
        <v>64949</v>
      </c>
      <c r="Z8" s="11">
        <v>127631</v>
      </c>
      <c r="AA8" s="11">
        <v>621975.67999999993</v>
      </c>
      <c r="AB8" s="11">
        <v>535808.5</v>
      </c>
      <c r="AC8" s="11">
        <v>29238</v>
      </c>
      <c r="AD8" s="11"/>
      <c r="AE8" s="11">
        <v>49516</v>
      </c>
      <c r="AF8" s="11">
        <v>126881</v>
      </c>
      <c r="AG8" s="33">
        <v>524</v>
      </c>
      <c r="AH8" s="33">
        <v>0</v>
      </c>
      <c r="AI8" s="2">
        <f t="shared" si="6"/>
        <v>524</v>
      </c>
      <c r="AJ8" s="18">
        <f t="shared" si="7"/>
        <v>0</v>
      </c>
      <c r="AK8" s="33">
        <v>495</v>
      </c>
      <c r="AL8" s="33">
        <v>0</v>
      </c>
      <c r="AM8" s="2">
        <f t="shared" si="8"/>
        <v>495</v>
      </c>
      <c r="AN8" s="18">
        <f t="shared" si="9"/>
        <v>0</v>
      </c>
      <c r="AO8" s="2">
        <v>462</v>
      </c>
      <c r="AP8" s="2">
        <v>0</v>
      </c>
      <c r="AQ8" s="2">
        <f t="shared" si="10"/>
        <v>462</v>
      </c>
      <c r="AR8" s="18">
        <f t="shared" si="11"/>
        <v>0</v>
      </c>
      <c r="AS8" s="34">
        <f t="shared" si="0"/>
        <v>514.33333333333326</v>
      </c>
      <c r="AT8" s="34">
        <f t="shared" si="1"/>
        <v>484</v>
      </c>
      <c r="AU8" s="34">
        <v>29</v>
      </c>
      <c r="AV8" s="34">
        <v>28</v>
      </c>
      <c r="AW8" s="34">
        <v>27</v>
      </c>
      <c r="AX8" s="34">
        <f t="shared" si="12"/>
        <v>28.666666666666664</v>
      </c>
      <c r="AY8" s="34">
        <f t="shared" si="13"/>
        <v>27.666666666666668</v>
      </c>
      <c r="AZ8" s="2">
        <f t="shared" si="14"/>
        <v>654.35505670771238</v>
      </c>
      <c r="BA8" s="2">
        <f t="shared" si="15"/>
        <v>473.95086195722632</v>
      </c>
      <c r="BB8" s="2">
        <f t="shared" si="16"/>
        <v>48.411454957874277</v>
      </c>
      <c r="BC8" s="2">
        <f t="shared" si="17"/>
        <v>131.99273979261179</v>
      </c>
      <c r="BD8" s="2">
        <f t="shared" si="2"/>
        <v>682.71739669421493</v>
      </c>
      <c r="BE8" s="2">
        <f t="shared" si="18"/>
        <v>524.54450929752068</v>
      </c>
      <c r="BF8" s="2">
        <f t="shared" si="19"/>
        <v>45.192873622589531</v>
      </c>
      <c r="BG8" s="2">
        <f t="shared" si="20"/>
        <v>112.98001377410472</v>
      </c>
      <c r="BH8" s="2">
        <f t="shared" si="21"/>
        <v>531.27399708360349</v>
      </c>
      <c r="BI8" s="2">
        <f t="shared" si="22"/>
        <v>90.939128321451733</v>
      </c>
      <c r="BJ8" s="2">
        <f t="shared" si="23"/>
        <v>10.523169151004538</v>
      </c>
      <c r="BK8" s="2">
        <f t="shared" si="24"/>
        <v>21.618762151652618</v>
      </c>
      <c r="BL8" s="2">
        <f t="shared" si="3"/>
        <v>553.78201790633614</v>
      </c>
      <c r="BM8" s="20">
        <f t="shared" si="25"/>
        <v>97.287620523415981</v>
      </c>
      <c r="BN8" s="20">
        <f t="shared" si="26"/>
        <v>8.5254820936639124</v>
      </c>
      <c r="BO8" s="2">
        <f t="shared" si="27"/>
        <v>23.122276170798898</v>
      </c>
      <c r="BP8" s="18">
        <f t="shared" si="28"/>
        <v>0.72430228375071748</v>
      </c>
      <c r="BQ8" s="18">
        <f t="shared" si="29"/>
        <v>0.76831865108083819</v>
      </c>
      <c r="BR8" s="18">
        <f t="shared" si="30"/>
        <v>0.13897520526394047</v>
      </c>
      <c r="BS8" s="18">
        <f t="shared" si="31"/>
        <v>0.14250057343564446</v>
      </c>
      <c r="BT8" s="29">
        <f>BD8/Kool!BJ8</f>
        <v>1.56945794765125</v>
      </c>
      <c r="BU8" s="27">
        <v>17.64</v>
      </c>
      <c r="BV8" s="27">
        <v>17.11</v>
      </c>
      <c r="BW8" s="27">
        <f t="shared" si="32"/>
        <v>17.941860465116278</v>
      </c>
      <c r="BX8" s="27">
        <f t="shared" si="33"/>
        <v>17.493975903614459</v>
      </c>
      <c r="BY8" s="2">
        <v>1855.26714359371</v>
      </c>
      <c r="BZ8" s="2">
        <v>1897.198545385851</v>
      </c>
      <c r="CA8" s="2">
        <f>VLOOKUP(A8,'[1]kaugused autoga'!$A$3:$B$82,2,FALSE)</f>
        <v>702.4</v>
      </c>
      <c r="CB8" s="29">
        <v>1</v>
      </c>
      <c r="CC8">
        <v>10482</v>
      </c>
      <c r="CD8" s="18">
        <v>1.0825884700091639</v>
      </c>
      <c r="CE8" t="s">
        <v>233</v>
      </c>
      <c r="CG8" s="27">
        <f t="shared" si="34"/>
        <v>17.493975903614459</v>
      </c>
      <c r="CH8" s="2">
        <f t="shared" si="35"/>
        <v>1897.198545385851</v>
      </c>
      <c r="CI8" s="56">
        <f t="shared" si="36"/>
        <v>1.0825884700091639</v>
      </c>
    </row>
    <row r="9" spans="1:87" ht="14.25" customHeight="1" x14ac:dyDescent="0.35">
      <c r="A9" t="s">
        <v>145</v>
      </c>
      <c r="B9" s="10" t="s">
        <v>14</v>
      </c>
      <c r="C9" s="11">
        <v>208295.24</v>
      </c>
      <c r="D9" s="11">
        <v>980.92000000000007</v>
      </c>
      <c r="E9" s="14">
        <f>1219160.18+W9</f>
        <v>1318952.8949824683</v>
      </c>
      <c r="F9" s="11">
        <v>187842</v>
      </c>
      <c r="G9" s="11">
        <v>665934.45000000007</v>
      </c>
      <c r="H9" s="11">
        <v>3255361.61</v>
      </c>
      <c r="J9" s="11">
        <f>Kool!AY9</f>
        <v>0</v>
      </c>
      <c r="K9" s="12">
        <f t="shared" si="4"/>
        <v>4595748.6649824679</v>
      </c>
      <c r="L9" s="11">
        <v>260475.29</v>
      </c>
      <c r="M9" s="11">
        <v>1377</v>
      </c>
      <c r="N9" s="14">
        <f>1363678.66+AC9</f>
        <v>1505699.3631477694</v>
      </c>
      <c r="O9" s="11">
        <v>132083.34</v>
      </c>
      <c r="P9" s="11">
        <v>817523.51</v>
      </c>
      <c r="Q9" s="11">
        <v>3868371.27</v>
      </c>
      <c r="S9" s="11">
        <f>Kool!AZ9</f>
        <v>0</v>
      </c>
      <c r="T9" s="12">
        <f t="shared" si="5"/>
        <v>5503839.5831477698</v>
      </c>
      <c r="U9" s="14">
        <f>706405.61+W9</f>
        <v>806198.32498246839</v>
      </c>
      <c r="V9" s="11">
        <v>666654.37</v>
      </c>
      <c r="W9" s="14">
        <f>W$84*AS9</f>
        <v>99792.714982468446</v>
      </c>
      <c r="X9" s="11"/>
      <c r="Y9" s="11">
        <v>27440</v>
      </c>
      <c r="Z9" s="11">
        <v>63926</v>
      </c>
      <c r="AA9" s="14">
        <f>828861.01+AC9</f>
        <v>970881.71314776933</v>
      </c>
      <c r="AB9" s="11">
        <v>780460.9</v>
      </c>
      <c r="AC9" s="14">
        <f>AC$84*AT9</f>
        <v>142020.70314776935</v>
      </c>
      <c r="AD9" s="11"/>
      <c r="AE9" s="11">
        <v>45342</v>
      </c>
      <c r="AF9" s="11">
        <v>83228</v>
      </c>
      <c r="AG9" s="33">
        <v>377</v>
      </c>
      <c r="AH9" s="33">
        <v>0</v>
      </c>
      <c r="AI9" s="2">
        <f t="shared" si="6"/>
        <v>377</v>
      </c>
      <c r="AJ9" s="18">
        <f t="shared" si="7"/>
        <v>0</v>
      </c>
      <c r="AK9" s="33">
        <v>563</v>
      </c>
      <c r="AL9" s="33">
        <v>0</v>
      </c>
      <c r="AM9" s="2">
        <f t="shared" si="8"/>
        <v>563</v>
      </c>
      <c r="AN9" s="18">
        <f t="shared" si="9"/>
        <v>0</v>
      </c>
      <c r="AO9" s="2">
        <v>558</v>
      </c>
      <c r="AP9" s="2">
        <v>0</v>
      </c>
      <c r="AQ9" s="2">
        <f t="shared" si="10"/>
        <v>558</v>
      </c>
      <c r="AR9" s="18">
        <f t="shared" si="11"/>
        <v>0</v>
      </c>
      <c r="AS9" s="34">
        <f t="shared" si="0"/>
        <v>439</v>
      </c>
      <c r="AT9" s="34">
        <f t="shared" si="1"/>
        <v>561.33333333333326</v>
      </c>
      <c r="AU9" s="34">
        <v>21</v>
      </c>
      <c r="AV9" s="34">
        <v>33</v>
      </c>
      <c r="AW9" s="34">
        <v>34</v>
      </c>
      <c r="AX9" s="34">
        <f t="shared" si="12"/>
        <v>25</v>
      </c>
      <c r="AY9" s="34">
        <f t="shared" si="13"/>
        <v>33.333333333333336</v>
      </c>
      <c r="AZ9" s="2">
        <f t="shared" si="14"/>
        <v>872.38964787062787</v>
      </c>
      <c r="BA9" s="2">
        <f t="shared" si="15"/>
        <v>617.95019172361424</v>
      </c>
      <c r="BB9" s="2">
        <f t="shared" si="16"/>
        <v>126.41124715261959</v>
      </c>
      <c r="BC9" s="2">
        <f t="shared" si="17"/>
        <v>128.02820899439405</v>
      </c>
      <c r="BD9" s="2">
        <f t="shared" si="2"/>
        <v>817.07832291386148</v>
      </c>
      <c r="BE9" s="2">
        <f t="shared" si="18"/>
        <v>574.283145783848</v>
      </c>
      <c r="BF9" s="2">
        <f t="shared" si="19"/>
        <v>121.36631680522567</v>
      </c>
      <c r="BG9" s="2">
        <f t="shared" si="20"/>
        <v>121.42886032478782</v>
      </c>
      <c r="BH9" s="2">
        <f t="shared" si="21"/>
        <v>707.21798405466961</v>
      </c>
      <c r="BI9" s="2">
        <f t="shared" si="22"/>
        <v>145.4910943398763</v>
      </c>
      <c r="BJ9" s="2">
        <f t="shared" si="23"/>
        <v>5.2088078967350038</v>
      </c>
      <c r="BK9" s="2">
        <f t="shared" si="24"/>
        <v>14.471761579346953</v>
      </c>
      <c r="BL9" s="2">
        <f t="shared" si="3"/>
        <v>660.589351247031</v>
      </c>
      <c r="BM9" s="20">
        <f t="shared" si="25"/>
        <v>136.94798146493017</v>
      </c>
      <c r="BN9" s="20">
        <f t="shared" si="26"/>
        <v>6.7312945368171029</v>
      </c>
      <c r="BO9" s="2">
        <f t="shared" si="27"/>
        <v>12.809695665083211</v>
      </c>
      <c r="BP9" s="18">
        <f t="shared" si="28"/>
        <v>0.70834195847226966</v>
      </c>
      <c r="BQ9" s="18">
        <f t="shared" si="29"/>
        <v>0.70284956739011473</v>
      </c>
      <c r="BR9" s="18">
        <f t="shared" si="30"/>
        <v>0.16677306372788606</v>
      </c>
      <c r="BS9" s="18">
        <f t="shared" si="31"/>
        <v>0.16760692044374254</v>
      </c>
      <c r="BT9" s="29">
        <f>BD9/Kool!BJ9</f>
        <v>1.7662501658920196</v>
      </c>
      <c r="BU9" s="27">
        <v>17.5</v>
      </c>
      <c r="BV9" s="27">
        <v>17.28</v>
      </c>
      <c r="BW9" s="27">
        <f t="shared" si="32"/>
        <v>17.559999999999999</v>
      </c>
      <c r="BX9" s="27">
        <f t="shared" si="33"/>
        <v>16.839999999999996</v>
      </c>
      <c r="BY9" s="2">
        <v>1774.944511411122</v>
      </c>
      <c r="BZ9" s="2">
        <v>1872.678435472629</v>
      </c>
      <c r="CA9" s="2">
        <f>VLOOKUP(A9,'[1]kaugused autoga'!$A$3:$B$82,2,FALSE)</f>
        <v>2476.6</v>
      </c>
      <c r="CB9" s="29">
        <v>1.59</v>
      </c>
      <c r="CC9">
        <v>7121</v>
      </c>
      <c r="CD9" s="18">
        <v>1.0503553594015491</v>
      </c>
      <c r="CE9" t="s">
        <v>233</v>
      </c>
      <c r="CG9" s="27">
        <f t="shared" si="34"/>
        <v>16.839999999999996</v>
      </c>
      <c r="CH9" s="2">
        <f t="shared" si="35"/>
        <v>1872.678435472629</v>
      </c>
      <c r="CI9" s="56">
        <f t="shared" si="36"/>
        <v>1.0503553594015491</v>
      </c>
    </row>
    <row r="10" spans="1:87" ht="14.25" customHeight="1" x14ac:dyDescent="0.35">
      <c r="A10" t="s">
        <v>142</v>
      </c>
      <c r="B10" s="10" t="s">
        <v>15</v>
      </c>
      <c r="C10" s="11">
        <v>122525.18</v>
      </c>
      <c r="D10" s="11">
        <v>8553</v>
      </c>
      <c r="E10" s="11">
        <v>734545.91</v>
      </c>
      <c r="F10" s="11">
        <v>51533.87</v>
      </c>
      <c r="G10" s="11">
        <v>123553.48</v>
      </c>
      <c r="H10" s="11">
        <v>3213495.75</v>
      </c>
      <c r="I10" s="11">
        <v>145253</v>
      </c>
      <c r="J10" s="11">
        <f>Kool!AY10</f>
        <v>0</v>
      </c>
      <c r="K10" s="12">
        <f t="shared" si="4"/>
        <v>4172838.97</v>
      </c>
      <c r="L10" s="11">
        <v>128921.77</v>
      </c>
      <c r="M10" s="13"/>
      <c r="N10" s="11">
        <v>676180.49</v>
      </c>
      <c r="O10" s="11">
        <v>48079.350000000013</v>
      </c>
      <c r="P10" s="11">
        <v>83622.28</v>
      </c>
      <c r="Q10" s="11">
        <v>3085679.040000001</v>
      </c>
      <c r="R10" s="11">
        <v>156799.13</v>
      </c>
      <c r="S10" s="11">
        <f>Kool!AZ10</f>
        <v>0</v>
      </c>
      <c r="T10" s="12">
        <f t="shared" si="5"/>
        <v>3999501.080000001</v>
      </c>
      <c r="U10" s="11">
        <v>638416.09000000008</v>
      </c>
      <c r="V10" s="11">
        <v>444987</v>
      </c>
      <c r="W10" s="11">
        <v>140610.56</v>
      </c>
      <c r="X10" s="11"/>
      <c r="Y10" s="11">
        <v>28832</v>
      </c>
      <c r="Z10" s="11">
        <v>163301</v>
      </c>
      <c r="AA10" s="11">
        <v>658996.74</v>
      </c>
      <c r="AB10" s="11">
        <v>474432.87</v>
      </c>
      <c r="AC10" s="11">
        <v>136591.4</v>
      </c>
      <c r="AD10" s="11"/>
      <c r="AE10" s="11">
        <v>19927</v>
      </c>
      <c r="AF10" s="11">
        <v>163820</v>
      </c>
      <c r="AG10" s="33">
        <v>426</v>
      </c>
      <c r="AH10" s="33">
        <v>163</v>
      </c>
      <c r="AI10" s="2">
        <f t="shared" si="6"/>
        <v>589</v>
      </c>
      <c r="AJ10" s="18">
        <f t="shared" si="7"/>
        <v>0.2767402376910017</v>
      </c>
      <c r="AK10" s="33">
        <v>430</v>
      </c>
      <c r="AL10" s="33">
        <v>146</v>
      </c>
      <c r="AM10" s="2">
        <f t="shared" si="8"/>
        <v>576</v>
      </c>
      <c r="AN10" s="18">
        <f t="shared" si="9"/>
        <v>0.25347222222222221</v>
      </c>
      <c r="AO10" s="2">
        <v>407</v>
      </c>
      <c r="AP10" s="2">
        <v>151</v>
      </c>
      <c r="AQ10" s="2">
        <f t="shared" si="10"/>
        <v>558</v>
      </c>
      <c r="AR10" s="18">
        <f t="shared" si="11"/>
        <v>0.27060931899641577</v>
      </c>
      <c r="AS10" s="34">
        <f t="shared" si="0"/>
        <v>584.66666666666674</v>
      </c>
      <c r="AT10" s="34">
        <f t="shared" si="1"/>
        <v>570</v>
      </c>
      <c r="AU10" s="34">
        <v>33</v>
      </c>
      <c r="AV10" s="34">
        <v>33</v>
      </c>
      <c r="AW10" s="34">
        <v>33</v>
      </c>
      <c r="AX10" s="34">
        <f t="shared" si="12"/>
        <v>33</v>
      </c>
      <c r="AY10" s="34">
        <f t="shared" si="13"/>
        <v>33</v>
      </c>
      <c r="AZ10" s="2">
        <f t="shared" si="14"/>
        <v>594.76040051311281</v>
      </c>
      <c r="BA10" s="2">
        <f t="shared" si="15"/>
        <v>458.02390963511965</v>
      </c>
      <c r="BB10" s="2">
        <f t="shared" si="16"/>
        <v>38.313352337514246</v>
      </c>
      <c r="BC10" s="2">
        <f t="shared" si="17"/>
        <v>98.423138540478917</v>
      </c>
      <c r="BD10" s="2">
        <f t="shared" si="2"/>
        <v>584.72238011695924</v>
      </c>
      <c r="BE10" s="2">
        <f t="shared" si="18"/>
        <v>451.12266666666682</v>
      </c>
      <c r="BF10" s="2">
        <f t="shared" si="19"/>
        <v>35.149328947368424</v>
      </c>
      <c r="BG10" s="2">
        <f t="shared" si="20"/>
        <v>98.45038450292401</v>
      </c>
      <c r="BH10" s="2">
        <f t="shared" si="21"/>
        <v>480.49057582668178</v>
      </c>
      <c r="BI10" s="2">
        <f t="shared" si="22"/>
        <v>83.466014823261119</v>
      </c>
      <c r="BJ10" s="2">
        <f t="shared" si="23"/>
        <v>4.1094640820980608</v>
      </c>
      <c r="BK10" s="2">
        <f t="shared" si="24"/>
        <v>26.694345781071856</v>
      </c>
      <c r="BL10" s="2">
        <f t="shared" si="3"/>
        <v>464.42753508771943</v>
      </c>
      <c r="BM10" s="20">
        <f t="shared" si="25"/>
        <v>89.331033625730996</v>
      </c>
      <c r="BN10" s="20">
        <f t="shared" si="26"/>
        <v>2.9133040935672514</v>
      </c>
      <c r="BO10" s="2">
        <f t="shared" si="27"/>
        <v>28.050507309941562</v>
      </c>
      <c r="BP10" s="18">
        <f t="shared" si="28"/>
        <v>0.77009819288569381</v>
      </c>
      <c r="BQ10" s="18">
        <f t="shared" si="29"/>
        <v>0.77151599118958114</v>
      </c>
      <c r="BR10" s="18">
        <f t="shared" si="30"/>
        <v>0.14033552797269819</v>
      </c>
      <c r="BS10" s="18">
        <f t="shared" si="31"/>
        <v>0.15277512314110936</v>
      </c>
      <c r="BT10" s="29">
        <f>BD10/Kool!BJ10</f>
        <v>1.2548406798416207</v>
      </c>
      <c r="BU10" s="27">
        <v>17.75</v>
      </c>
      <c r="BV10" s="27">
        <v>17.13</v>
      </c>
      <c r="BW10" s="27">
        <f t="shared" si="32"/>
        <v>17.71717171717172</v>
      </c>
      <c r="BX10" s="27">
        <f t="shared" si="33"/>
        <v>17.272727272727273</v>
      </c>
      <c r="BY10" s="2">
        <v>1672.152944401445</v>
      </c>
      <c r="BZ10" s="2">
        <v>1742.90092674316</v>
      </c>
      <c r="CA10" s="2">
        <f>VLOOKUP(A10,'[1]kaugused autoga'!$A$3:$B$82,2,FALSE)</f>
        <v>1828.7</v>
      </c>
      <c r="CB10" s="29">
        <v>1.7</v>
      </c>
      <c r="CC10">
        <v>7798</v>
      </c>
      <c r="CD10" s="18">
        <v>1.0085176711911887</v>
      </c>
      <c r="CE10" t="s">
        <v>234</v>
      </c>
      <c r="CG10" s="27">
        <f t="shared" si="34"/>
        <v>17.272727272727273</v>
      </c>
      <c r="CH10" s="2">
        <f t="shared" si="35"/>
        <v>1742.90092674316</v>
      </c>
      <c r="CI10" s="56">
        <f t="shared" si="36"/>
        <v>1.0085176711911887</v>
      </c>
    </row>
    <row r="11" spans="1:87" ht="14.25" customHeight="1" x14ac:dyDescent="0.35">
      <c r="A11" t="s">
        <v>141</v>
      </c>
      <c r="B11" s="10" t="s">
        <v>16</v>
      </c>
      <c r="C11" s="11">
        <v>73651.490000000005</v>
      </c>
      <c r="D11" s="11">
        <v>858.05000000000007</v>
      </c>
      <c r="E11" s="11">
        <v>593911.42999999993</v>
      </c>
      <c r="F11" s="11">
        <v>230257.22</v>
      </c>
      <c r="G11" s="11"/>
      <c r="H11" s="11">
        <v>1954134.36</v>
      </c>
      <c r="I11" s="11">
        <v>30869.57</v>
      </c>
      <c r="J11" s="11">
        <f>Kool!AY11</f>
        <v>97755.856663990329</v>
      </c>
      <c r="K11" s="12">
        <f t="shared" si="4"/>
        <v>2520923.5366639905</v>
      </c>
      <c r="L11" s="11">
        <v>73987.23</v>
      </c>
      <c r="M11" s="11">
        <v>-149.25</v>
      </c>
      <c r="N11" s="11">
        <v>574547.35000000009</v>
      </c>
      <c r="O11" s="11">
        <v>219852.2</v>
      </c>
      <c r="P11" s="11"/>
      <c r="Q11" s="11">
        <v>1982516.61</v>
      </c>
      <c r="R11" s="11">
        <v>22861.919999999998</v>
      </c>
      <c r="S11" s="11">
        <f>Kool!AZ11</f>
        <v>71983.067479474514</v>
      </c>
      <c r="T11" s="12">
        <f t="shared" si="5"/>
        <v>2505894.7274794746</v>
      </c>
      <c r="U11" s="11">
        <v>284299.0400000001</v>
      </c>
      <c r="V11" s="11">
        <f>14046+79740</f>
        <v>93786</v>
      </c>
      <c r="W11" s="11">
        <v>109470.7</v>
      </c>
      <c r="X11" s="11"/>
      <c r="Y11" s="11">
        <v>64621.95</v>
      </c>
      <c r="Z11" s="11">
        <v>38320</v>
      </c>
      <c r="AA11" s="11">
        <v>259150.92</v>
      </c>
      <c r="AB11" s="11">
        <f>13280.1+76120</f>
        <v>89400.1</v>
      </c>
      <c r="AC11" s="11">
        <v>110050.09</v>
      </c>
      <c r="AD11" s="11"/>
      <c r="AE11" s="11">
        <v>49203.03</v>
      </c>
      <c r="AF11" s="11">
        <v>39123</v>
      </c>
      <c r="AG11" s="33">
        <v>344</v>
      </c>
      <c r="AH11" s="33">
        <v>18</v>
      </c>
      <c r="AI11" s="2">
        <f t="shared" si="6"/>
        <v>362</v>
      </c>
      <c r="AJ11" s="18">
        <f t="shared" si="7"/>
        <v>4.9723756906077346E-2</v>
      </c>
      <c r="AK11" s="33">
        <v>346</v>
      </c>
      <c r="AL11" s="33">
        <v>13</v>
      </c>
      <c r="AM11" s="2">
        <f t="shared" si="8"/>
        <v>359</v>
      </c>
      <c r="AN11" s="18">
        <f t="shared" si="9"/>
        <v>3.6211699164345405E-2</v>
      </c>
      <c r="AO11" s="2">
        <v>324</v>
      </c>
      <c r="AP11" s="2">
        <v>8</v>
      </c>
      <c r="AQ11" s="2">
        <f t="shared" si="10"/>
        <v>332</v>
      </c>
      <c r="AR11" s="18">
        <f t="shared" si="11"/>
        <v>2.4096385542168676E-2</v>
      </c>
      <c r="AS11" s="34">
        <f t="shared" si="0"/>
        <v>361</v>
      </c>
      <c r="AT11" s="34">
        <f t="shared" si="1"/>
        <v>350</v>
      </c>
      <c r="AU11" s="34">
        <v>21</v>
      </c>
      <c r="AV11" s="34">
        <v>21</v>
      </c>
      <c r="AW11" s="34">
        <v>21</v>
      </c>
      <c r="AX11" s="34">
        <f t="shared" si="12"/>
        <v>21</v>
      </c>
      <c r="AY11" s="34">
        <f t="shared" si="13"/>
        <v>21</v>
      </c>
      <c r="AZ11" s="2">
        <f t="shared" si="14"/>
        <v>581.9306409658335</v>
      </c>
      <c r="BA11" s="2">
        <f t="shared" si="15"/>
        <v>451.0928808864266</v>
      </c>
      <c r="BB11" s="2">
        <f t="shared" si="16"/>
        <v>7.1259395198522624</v>
      </c>
      <c r="BC11" s="2">
        <f t="shared" si="17"/>
        <v>123.71182055955464</v>
      </c>
      <c r="BD11" s="2">
        <f t="shared" si="2"/>
        <v>596.64160178082727</v>
      </c>
      <c r="BE11" s="2">
        <f t="shared" si="18"/>
        <v>472.02776428571428</v>
      </c>
      <c r="BF11" s="2">
        <f t="shared" si="19"/>
        <v>5.443314285714286</v>
      </c>
      <c r="BG11" s="2">
        <f t="shared" si="20"/>
        <v>119.17052320939871</v>
      </c>
      <c r="BH11" s="2">
        <f t="shared" si="21"/>
        <v>507.4571783619553</v>
      </c>
      <c r="BI11" s="2">
        <f t="shared" si="22"/>
        <v>46.919829178208687</v>
      </c>
      <c r="BJ11" s="2">
        <f t="shared" si="23"/>
        <v>14.917347645429361</v>
      </c>
      <c r="BK11" s="2">
        <f t="shared" si="24"/>
        <v>12.636285780240156</v>
      </c>
      <c r="BL11" s="2">
        <f t="shared" si="3"/>
        <v>525.62400178082737</v>
      </c>
      <c r="BM11" s="20">
        <f t="shared" si="25"/>
        <v>47.488140476190473</v>
      </c>
      <c r="BN11" s="20">
        <f t="shared" si="26"/>
        <v>11.715007142857141</v>
      </c>
      <c r="BO11" s="2">
        <f t="shared" si="27"/>
        <v>11.814452380952288</v>
      </c>
      <c r="BP11" s="18">
        <f t="shared" si="28"/>
        <v>0.77516605782734738</v>
      </c>
      <c r="BQ11" s="18">
        <f t="shared" si="29"/>
        <v>0.79114121924590641</v>
      </c>
      <c r="BR11" s="18">
        <f t="shared" si="30"/>
        <v>8.0627871906410686E-2</v>
      </c>
      <c r="BS11" s="18">
        <f t="shared" si="31"/>
        <v>7.959240578338847E-2</v>
      </c>
      <c r="BT11" s="29">
        <f>BD11/Kool!BJ11</f>
        <v>1.1272547931543755</v>
      </c>
      <c r="BU11" s="27">
        <v>17.05</v>
      </c>
      <c r="BV11" s="27">
        <v>15.47</v>
      </c>
      <c r="BW11" s="27">
        <f t="shared" si="32"/>
        <v>17.19047619047619</v>
      </c>
      <c r="BX11" s="27">
        <f t="shared" si="33"/>
        <v>16.666666666666668</v>
      </c>
      <c r="BY11" s="2">
        <v>1684.8033389528889</v>
      </c>
      <c r="BZ11" s="2">
        <v>1648.6457572351781</v>
      </c>
      <c r="CA11" s="2">
        <f>VLOOKUP(A11,'[1]kaugused autoga'!$A$3:$B$82,2,FALSE)</f>
        <v>4456.3999999999996</v>
      </c>
      <c r="CB11" s="29">
        <v>1.92</v>
      </c>
      <c r="CC11">
        <v>6583</v>
      </c>
      <c r="CD11" s="18">
        <v>1.0322394262773149</v>
      </c>
      <c r="CE11" t="s">
        <v>233</v>
      </c>
      <c r="CG11" s="27">
        <f t="shared" si="34"/>
        <v>16.666666666666668</v>
      </c>
      <c r="CH11" s="2">
        <f t="shared" si="35"/>
        <v>1648.6457572351781</v>
      </c>
      <c r="CI11" s="56">
        <f t="shared" si="36"/>
        <v>1.0322394262773149</v>
      </c>
    </row>
    <row r="12" spans="1:87" ht="14.25" customHeight="1" x14ac:dyDescent="0.35">
      <c r="A12" t="s">
        <v>140</v>
      </c>
      <c r="B12" s="10" t="s">
        <v>17</v>
      </c>
      <c r="C12" s="11">
        <v>24943.63</v>
      </c>
      <c r="D12" s="13"/>
      <c r="E12" s="11">
        <v>121808.54</v>
      </c>
      <c r="F12" s="11">
        <v>3350.31</v>
      </c>
      <c r="G12" s="11"/>
      <c r="H12" s="11">
        <v>597813.71</v>
      </c>
      <c r="I12" s="11">
        <v>42664.95</v>
      </c>
      <c r="J12" s="11">
        <f>Kool!AY12</f>
        <v>0</v>
      </c>
      <c r="K12" s="12">
        <f t="shared" si="4"/>
        <v>783880.5199999999</v>
      </c>
      <c r="L12" s="11">
        <v>20558.66</v>
      </c>
      <c r="M12" s="13"/>
      <c r="N12" s="11">
        <v>101881.3</v>
      </c>
      <c r="O12" s="11">
        <v>7257.84</v>
      </c>
      <c r="P12" s="11"/>
      <c r="Q12" s="11">
        <v>557731.80000000005</v>
      </c>
      <c r="R12" s="11">
        <v>42664.95</v>
      </c>
      <c r="S12" s="11">
        <f>Kool!AZ12</f>
        <v>0</v>
      </c>
      <c r="T12" s="12">
        <f t="shared" si="5"/>
        <v>715578.87</v>
      </c>
      <c r="U12" s="11">
        <v>316141.15999999992</v>
      </c>
      <c r="V12" s="11">
        <v>43485.98</v>
      </c>
      <c r="W12" s="11">
        <v>28791.599999999999</v>
      </c>
      <c r="X12" s="11"/>
      <c r="Y12" s="11">
        <v>222052.78</v>
      </c>
      <c r="Z12" s="11">
        <v>46982</v>
      </c>
      <c r="AA12" s="11">
        <v>281144.96999999997</v>
      </c>
      <c r="AB12" s="11">
        <v>40939.83</v>
      </c>
      <c r="AC12" s="11">
        <v>26400.74</v>
      </c>
      <c r="AD12" s="11"/>
      <c r="AE12" s="11">
        <v>206150</v>
      </c>
      <c r="AF12" s="11">
        <v>47295</v>
      </c>
      <c r="AG12" s="33">
        <v>84</v>
      </c>
      <c r="AH12" s="33">
        <v>0</v>
      </c>
      <c r="AI12" s="2">
        <f t="shared" si="6"/>
        <v>84</v>
      </c>
      <c r="AJ12" s="18">
        <f t="shared" si="7"/>
        <v>0</v>
      </c>
      <c r="AK12" s="33">
        <v>85</v>
      </c>
      <c r="AL12" s="33">
        <v>0</v>
      </c>
      <c r="AM12" s="2">
        <f t="shared" si="8"/>
        <v>85</v>
      </c>
      <c r="AN12" s="18">
        <f t="shared" si="9"/>
        <v>0</v>
      </c>
      <c r="AO12" s="2">
        <v>79</v>
      </c>
      <c r="AP12" s="2">
        <v>0</v>
      </c>
      <c r="AQ12" s="2">
        <f t="shared" si="10"/>
        <v>79</v>
      </c>
      <c r="AR12" s="18">
        <f t="shared" si="11"/>
        <v>0</v>
      </c>
      <c r="AS12" s="34">
        <f t="shared" si="0"/>
        <v>84.333333333333329</v>
      </c>
      <c r="AT12" s="34">
        <f t="shared" si="1"/>
        <v>83</v>
      </c>
      <c r="AU12" s="34">
        <v>6</v>
      </c>
      <c r="AV12" s="34">
        <v>5</v>
      </c>
      <c r="AW12" s="34">
        <v>5</v>
      </c>
      <c r="AX12" s="34">
        <f t="shared" si="12"/>
        <v>5.666666666666667</v>
      </c>
      <c r="AY12" s="34">
        <f t="shared" si="13"/>
        <v>5</v>
      </c>
      <c r="AZ12" s="2">
        <f t="shared" si="14"/>
        <v>774.58549407114617</v>
      </c>
      <c r="BA12" s="2">
        <f t="shared" si="15"/>
        <v>590.72500988142292</v>
      </c>
      <c r="BB12" s="2">
        <f t="shared" si="16"/>
        <v>42.159041501976283</v>
      </c>
      <c r="BC12" s="2">
        <f t="shared" si="17"/>
        <v>141.70144268774698</v>
      </c>
      <c r="BD12" s="2">
        <f t="shared" si="2"/>
        <v>718.45268072289161</v>
      </c>
      <c r="BE12" s="2">
        <f t="shared" si="18"/>
        <v>559.97168674698798</v>
      </c>
      <c r="BF12" s="2">
        <f t="shared" si="19"/>
        <v>42.836295180722885</v>
      </c>
      <c r="BG12" s="2">
        <f t="shared" si="20"/>
        <v>115.64469879518074</v>
      </c>
      <c r="BH12" s="2">
        <f t="shared" si="21"/>
        <v>415.76814229249015</v>
      </c>
      <c r="BI12" s="2">
        <f t="shared" si="22"/>
        <v>71.420533596837956</v>
      </c>
      <c r="BJ12" s="2">
        <f t="shared" si="23"/>
        <v>219.41974308300397</v>
      </c>
      <c r="BK12" s="2">
        <f t="shared" si="24"/>
        <v>67.977075098814083</v>
      </c>
      <c r="BL12" s="2">
        <f t="shared" si="3"/>
        <v>388.69367469879518</v>
      </c>
      <c r="BM12" s="20">
        <f t="shared" si="25"/>
        <v>67.611014056224903</v>
      </c>
      <c r="BN12" s="20">
        <f t="shared" si="26"/>
        <v>206.97791164658634</v>
      </c>
      <c r="BO12" s="2">
        <f t="shared" si="27"/>
        <v>55.170080321285184</v>
      </c>
      <c r="BP12" s="18">
        <f t="shared" si="28"/>
        <v>0.76263371106606914</v>
      </c>
      <c r="BQ12" s="18">
        <f t="shared" si="29"/>
        <v>0.77941345585008681</v>
      </c>
      <c r="BR12" s="18">
        <f t="shared" si="30"/>
        <v>9.220484264617268E-2</v>
      </c>
      <c r="BS12" s="18">
        <f t="shared" si="31"/>
        <v>9.4106426032395288E-2</v>
      </c>
      <c r="BT12" s="29">
        <f>BD12/Kool!BJ12</f>
        <v>1.0467913355254908</v>
      </c>
      <c r="BU12" s="27">
        <v>17</v>
      </c>
      <c r="BV12" s="27">
        <v>15.8</v>
      </c>
      <c r="BW12" s="27">
        <f t="shared" si="32"/>
        <v>14.882352941176469</v>
      </c>
      <c r="BX12" s="27">
        <f t="shared" si="33"/>
        <v>16.600000000000001</v>
      </c>
      <c r="BY12" s="2">
        <v>1829.776458333333</v>
      </c>
      <c r="BZ12" s="2">
        <v>1683.3934999999999</v>
      </c>
      <c r="CA12" s="2">
        <f>VLOOKUP(A12,'[1]kaugused autoga'!$A$3:$B$82,2,FALSE)</f>
        <v>639.4</v>
      </c>
      <c r="CB12" s="29">
        <v>1.43</v>
      </c>
      <c r="CC12">
        <v>2441</v>
      </c>
      <c r="CD12" s="18">
        <v>0.98307622331225697</v>
      </c>
      <c r="CE12" t="s">
        <v>234</v>
      </c>
      <c r="CG12" s="27">
        <f t="shared" si="34"/>
        <v>16.600000000000001</v>
      </c>
      <c r="CH12" s="2">
        <f t="shared" si="35"/>
        <v>1683.3934999999999</v>
      </c>
      <c r="CI12" s="56">
        <f t="shared" si="36"/>
        <v>0.98307622331225697</v>
      </c>
    </row>
    <row r="13" spans="1:87" ht="14.25" customHeight="1" x14ac:dyDescent="0.35">
      <c r="A13" t="s">
        <v>134</v>
      </c>
      <c r="B13" s="10" t="s">
        <v>18</v>
      </c>
      <c r="C13" s="11">
        <v>172282.96</v>
      </c>
      <c r="D13" s="11">
        <v>844.43000000000006</v>
      </c>
      <c r="E13" s="11">
        <v>878526.65999999992</v>
      </c>
      <c r="F13" s="11">
        <v>66169</v>
      </c>
      <c r="G13" s="11">
        <v>18000</v>
      </c>
      <c r="H13" s="11">
        <v>4244820.88</v>
      </c>
      <c r="I13" s="11">
        <v>208132.32</v>
      </c>
      <c r="J13" s="11">
        <f>Kool!AY13</f>
        <v>0</v>
      </c>
      <c r="K13" s="12">
        <f t="shared" si="4"/>
        <v>5438438.25</v>
      </c>
      <c r="L13" s="11">
        <v>155913.28</v>
      </c>
      <c r="M13" s="11">
        <v>-612.59</v>
      </c>
      <c r="N13" s="11">
        <v>783364.80000000028</v>
      </c>
      <c r="O13" s="11">
        <v>59125.259999999987</v>
      </c>
      <c r="P13" s="11">
        <v>18000</v>
      </c>
      <c r="Q13" s="11">
        <v>4099807.41</v>
      </c>
      <c r="R13" s="11">
        <v>205127.16</v>
      </c>
      <c r="S13" s="11">
        <f>Kool!AZ13</f>
        <v>0</v>
      </c>
      <c r="T13" s="12">
        <f t="shared" si="5"/>
        <v>5184474.8000000007</v>
      </c>
      <c r="U13" s="11">
        <v>1327109.52</v>
      </c>
      <c r="V13" s="11">
        <v>428785.54</v>
      </c>
      <c r="W13" s="11">
        <v>279278.83</v>
      </c>
      <c r="X13" s="11"/>
      <c r="Y13" s="11">
        <v>338964</v>
      </c>
      <c r="Z13" s="11">
        <v>209963</v>
      </c>
      <c r="AA13" s="11">
        <v>1108536.6499999999</v>
      </c>
      <c r="AB13" s="11">
        <v>400536.32000000001</v>
      </c>
      <c r="AC13" s="11">
        <v>248840.1</v>
      </c>
      <c r="AD13" s="11"/>
      <c r="AE13" s="11">
        <v>397977.63</v>
      </c>
      <c r="AF13" s="11">
        <v>203898</v>
      </c>
      <c r="AG13" s="33">
        <v>735</v>
      </c>
      <c r="AH13" s="33">
        <v>0</v>
      </c>
      <c r="AI13" s="2">
        <f t="shared" si="6"/>
        <v>735</v>
      </c>
      <c r="AJ13" s="18">
        <f t="shared" si="7"/>
        <v>0</v>
      </c>
      <c r="AK13" s="33">
        <v>670</v>
      </c>
      <c r="AL13" s="33">
        <v>0</v>
      </c>
      <c r="AM13" s="2">
        <f t="shared" si="8"/>
        <v>670</v>
      </c>
      <c r="AN13" s="18">
        <f t="shared" si="9"/>
        <v>0</v>
      </c>
      <c r="AO13" s="2">
        <v>626</v>
      </c>
      <c r="AP13" s="2">
        <v>0</v>
      </c>
      <c r="AQ13" s="2">
        <f t="shared" si="10"/>
        <v>626</v>
      </c>
      <c r="AR13" s="18">
        <f t="shared" si="11"/>
        <v>0</v>
      </c>
      <c r="AS13" s="34">
        <f t="shared" si="0"/>
        <v>713.33333333333337</v>
      </c>
      <c r="AT13" s="34">
        <f t="shared" si="1"/>
        <v>655.33333333333337</v>
      </c>
      <c r="AU13" s="34">
        <v>41</v>
      </c>
      <c r="AV13" s="34">
        <v>38</v>
      </c>
      <c r="AW13" s="34">
        <v>38</v>
      </c>
      <c r="AX13" s="34">
        <f t="shared" si="12"/>
        <v>40</v>
      </c>
      <c r="AY13" s="34">
        <f t="shared" si="13"/>
        <v>38</v>
      </c>
      <c r="AZ13" s="2">
        <f t="shared" si="14"/>
        <v>635.33157126168214</v>
      </c>
      <c r="BA13" s="2">
        <f t="shared" si="15"/>
        <v>495.89028971962608</v>
      </c>
      <c r="BB13" s="2">
        <f t="shared" si="16"/>
        <v>26.417327102803739</v>
      </c>
      <c r="BC13" s="2">
        <f t="shared" si="17"/>
        <v>113.02395443925232</v>
      </c>
      <c r="BD13" s="2">
        <f t="shared" si="2"/>
        <v>659.26688708036625</v>
      </c>
      <c r="BE13" s="2">
        <f t="shared" si="18"/>
        <v>521.33868387589007</v>
      </c>
      <c r="BF13" s="2">
        <f t="shared" si="19"/>
        <v>28.373240081383518</v>
      </c>
      <c r="BG13" s="2">
        <f t="shared" si="20"/>
        <v>109.55496312309266</v>
      </c>
      <c r="BH13" s="2">
        <f t="shared" si="21"/>
        <v>455.76702453271031</v>
      </c>
      <c r="BI13" s="2">
        <f t="shared" si="22"/>
        <v>82.717800233644851</v>
      </c>
      <c r="BJ13" s="2">
        <f t="shared" si="23"/>
        <v>39.598598130841118</v>
      </c>
      <c r="BK13" s="2">
        <f t="shared" si="24"/>
        <v>57.248148364485864</v>
      </c>
      <c r="BL13" s="2">
        <f t="shared" si="3"/>
        <v>492.37540055951177</v>
      </c>
      <c r="BM13" s="20">
        <f t="shared" si="25"/>
        <v>82.575841810783317</v>
      </c>
      <c r="BN13" s="20">
        <f t="shared" si="26"/>
        <v>50.607531790437434</v>
      </c>
      <c r="BO13" s="2">
        <f t="shared" si="27"/>
        <v>33.70811291963372</v>
      </c>
      <c r="BP13" s="18">
        <f t="shared" si="28"/>
        <v>0.78052203314067237</v>
      </c>
      <c r="BQ13" s="18">
        <f t="shared" si="29"/>
        <v>0.79078548322773201</v>
      </c>
      <c r="BR13" s="18">
        <f t="shared" si="30"/>
        <v>0.13019626912193036</v>
      </c>
      <c r="BS13" s="18">
        <f t="shared" si="31"/>
        <v>0.12525404116150782</v>
      </c>
      <c r="BT13" s="29">
        <f>BD13/Kool!BJ13</f>
        <v>1.5770397907911506</v>
      </c>
      <c r="BU13" s="27">
        <v>18.440000000000001</v>
      </c>
      <c r="BV13" s="27">
        <v>17.52</v>
      </c>
      <c r="BW13" s="27">
        <f t="shared" si="32"/>
        <v>17.833333333333336</v>
      </c>
      <c r="BX13" s="27">
        <f t="shared" si="33"/>
        <v>17.245614035087719</v>
      </c>
      <c r="BY13" s="2">
        <v>1765.464555940023</v>
      </c>
      <c r="BZ13" s="2">
        <v>1774.4665845493021</v>
      </c>
      <c r="CA13" s="2">
        <f>VLOOKUP(A13,'[1]kaugused autoga'!$A$3:$B$82,2,FALSE)</f>
        <v>763.3</v>
      </c>
      <c r="CB13" s="29">
        <v>1</v>
      </c>
      <c r="CC13">
        <v>16114</v>
      </c>
      <c r="CD13" s="18">
        <v>1.0303812984518055</v>
      </c>
      <c r="CE13" t="s">
        <v>233</v>
      </c>
      <c r="CG13" s="27">
        <f t="shared" si="34"/>
        <v>17.245614035087719</v>
      </c>
      <c r="CH13" s="2">
        <f t="shared" si="35"/>
        <v>1774.4665845493021</v>
      </c>
      <c r="CI13" s="56">
        <f t="shared" si="36"/>
        <v>1.0303812984518055</v>
      </c>
    </row>
    <row r="14" spans="1:87" ht="14.25" customHeight="1" x14ac:dyDescent="0.35">
      <c r="A14" t="s">
        <v>118</v>
      </c>
      <c r="B14" s="10" t="s">
        <v>19</v>
      </c>
      <c r="C14" s="11">
        <v>70182.100000000006</v>
      </c>
      <c r="D14" s="11">
        <v>1789.46</v>
      </c>
      <c r="E14" s="11">
        <v>603788.24000000022</v>
      </c>
      <c r="F14" s="11">
        <v>203610.6</v>
      </c>
      <c r="G14" s="11"/>
      <c r="H14" s="11">
        <v>2109981.67</v>
      </c>
      <c r="I14" s="11">
        <v>93042.77</v>
      </c>
      <c r="J14" s="11">
        <f>Kool!AY14</f>
        <v>0</v>
      </c>
      <c r="K14" s="12">
        <f t="shared" si="4"/>
        <v>2675173.64</v>
      </c>
      <c r="L14" s="11">
        <v>73734.5</v>
      </c>
      <c r="M14" s="11">
        <v>1377.82</v>
      </c>
      <c r="N14" s="11">
        <v>592468.68000000005</v>
      </c>
      <c r="O14" s="11">
        <v>219507.67</v>
      </c>
      <c r="P14" s="11"/>
      <c r="Q14" s="11">
        <v>2137448.81</v>
      </c>
      <c r="R14" s="11">
        <v>97281.909999999989</v>
      </c>
      <c r="S14" s="11">
        <f>Kool!AZ14</f>
        <v>0</v>
      </c>
      <c r="T14" s="12">
        <f t="shared" si="5"/>
        <v>2682804.0500000003</v>
      </c>
      <c r="U14" s="11">
        <v>540059.66</v>
      </c>
      <c r="V14" s="11">
        <v>294070.59000000003</v>
      </c>
      <c r="W14" s="11">
        <v>99046.8</v>
      </c>
      <c r="X14" s="11"/>
      <c r="Y14" s="11">
        <v>50879.3</v>
      </c>
      <c r="Z14" s="11">
        <v>112367</v>
      </c>
      <c r="AA14" s="11">
        <v>469727.04</v>
      </c>
      <c r="AB14" s="11">
        <v>328164.2</v>
      </c>
      <c r="AC14" s="11">
        <v>109702.48</v>
      </c>
      <c r="AD14" s="11"/>
      <c r="AE14" s="11">
        <v>21992.1</v>
      </c>
      <c r="AF14" s="11">
        <v>115424</v>
      </c>
      <c r="AG14" s="33">
        <v>227</v>
      </c>
      <c r="AH14" s="33">
        <v>146</v>
      </c>
      <c r="AI14" s="2">
        <f t="shared" si="6"/>
        <v>373</v>
      </c>
      <c r="AJ14" s="18">
        <f t="shared" si="7"/>
        <v>0.39142091152815012</v>
      </c>
      <c r="AK14" s="33">
        <v>240</v>
      </c>
      <c r="AL14" s="33">
        <v>145</v>
      </c>
      <c r="AM14" s="2">
        <f t="shared" si="8"/>
        <v>385</v>
      </c>
      <c r="AN14" s="18">
        <f t="shared" si="9"/>
        <v>0.37662337662337664</v>
      </c>
      <c r="AO14" s="2">
        <v>237</v>
      </c>
      <c r="AP14" s="2">
        <v>137</v>
      </c>
      <c r="AQ14" s="2">
        <f t="shared" si="10"/>
        <v>374</v>
      </c>
      <c r="AR14" s="18">
        <f t="shared" si="11"/>
        <v>0.36631016042780751</v>
      </c>
      <c r="AS14" s="34">
        <f t="shared" si="0"/>
        <v>377</v>
      </c>
      <c r="AT14" s="34">
        <f t="shared" si="1"/>
        <v>381.33333333333337</v>
      </c>
      <c r="AU14" s="34">
        <v>21</v>
      </c>
      <c r="AV14" s="34">
        <v>21</v>
      </c>
      <c r="AW14" s="34">
        <v>21</v>
      </c>
      <c r="AX14" s="34">
        <f t="shared" si="12"/>
        <v>21</v>
      </c>
      <c r="AY14" s="34">
        <f t="shared" si="13"/>
        <v>21</v>
      </c>
      <c r="AZ14" s="2">
        <f t="shared" si="14"/>
        <v>591.32927497789569</v>
      </c>
      <c r="BA14" s="2">
        <f t="shared" si="15"/>
        <v>466.39736295313878</v>
      </c>
      <c r="BB14" s="2">
        <f t="shared" si="16"/>
        <v>20.566483200707339</v>
      </c>
      <c r="BC14" s="2">
        <f t="shared" si="17"/>
        <v>104.36542882404957</v>
      </c>
      <c r="BD14" s="2">
        <f t="shared" si="2"/>
        <v>586.27710882867132</v>
      </c>
      <c r="BE14" s="2">
        <f t="shared" si="18"/>
        <v>467.09982736013984</v>
      </c>
      <c r="BF14" s="2">
        <f t="shared" si="19"/>
        <v>21.25915865384615</v>
      </c>
      <c r="BG14" s="2">
        <f t="shared" si="20"/>
        <v>97.918122814685319</v>
      </c>
      <c r="BH14" s="2">
        <f t="shared" si="21"/>
        <v>447.11471706454466</v>
      </c>
      <c r="BI14" s="2">
        <f t="shared" si="22"/>
        <v>86.895974801061016</v>
      </c>
      <c r="BJ14" s="2">
        <f t="shared" si="23"/>
        <v>11.246529619805484</v>
      </c>
      <c r="BK14" s="2">
        <f t="shared" si="24"/>
        <v>46.072053492484528</v>
      </c>
      <c r="BL14" s="2">
        <f t="shared" si="3"/>
        <v>458.40319274475524</v>
      </c>
      <c r="BM14" s="20">
        <f t="shared" si="25"/>
        <v>95.687648601398578</v>
      </c>
      <c r="BN14" s="20">
        <f t="shared" si="26"/>
        <v>4.8059659090909088</v>
      </c>
      <c r="BO14" s="2">
        <f t="shared" si="27"/>
        <v>27.380301573426586</v>
      </c>
      <c r="BP14" s="18">
        <f t="shared" si="28"/>
        <v>0.78872699642779065</v>
      </c>
      <c r="BQ14" s="18">
        <f t="shared" si="29"/>
        <v>0.79672192607581604</v>
      </c>
      <c r="BR14" s="18">
        <f t="shared" si="30"/>
        <v>0.1469502331071115</v>
      </c>
      <c r="BS14" s="18">
        <f t="shared" si="31"/>
        <v>0.16321232256973814</v>
      </c>
      <c r="BT14" s="29">
        <f>BD14/Kool!BJ14</f>
        <v>1.0227998135210015</v>
      </c>
      <c r="BU14" s="27">
        <v>18.75</v>
      </c>
      <c r="BV14" s="27">
        <v>18.100000000000001</v>
      </c>
      <c r="BW14" s="27">
        <f t="shared" si="32"/>
        <v>17.952380952380953</v>
      </c>
      <c r="BX14" s="27">
        <f t="shared" si="33"/>
        <v>18.158730158730162</v>
      </c>
      <c r="BY14" s="2">
        <v>1688.2081910569109</v>
      </c>
      <c r="BZ14" s="2">
        <v>1655.7211376994121</v>
      </c>
      <c r="CA14" s="2">
        <f>VLOOKUP(A14,'[1]kaugused autoga'!$A$3:$B$82,2,FALSE)</f>
        <v>1660.1</v>
      </c>
      <c r="CB14" s="29">
        <v>1.32</v>
      </c>
      <c r="CC14">
        <v>5456</v>
      </c>
      <c r="CD14" s="18">
        <v>0.99869542001975875</v>
      </c>
      <c r="CE14" t="s">
        <v>234</v>
      </c>
      <c r="CG14" s="27">
        <f t="shared" si="34"/>
        <v>18.158730158730162</v>
      </c>
      <c r="CH14" s="2">
        <f t="shared" si="35"/>
        <v>1655.7211376994121</v>
      </c>
      <c r="CI14" s="56">
        <f t="shared" si="36"/>
        <v>0.99869542001975875</v>
      </c>
    </row>
    <row r="15" spans="1:87" ht="14.25" customHeight="1" x14ac:dyDescent="0.35">
      <c r="A15" t="s">
        <v>117</v>
      </c>
      <c r="B15" s="10" t="s">
        <v>20</v>
      </c>
      <c r="C15" s="11">
        <v>442549.12</v>
      </c>
      <c r="D15" s="11">
        <v>2004.67</v>
      </c>
      <c r="E15" s="11">
        <v>5800652.3500000034</v>
      </c>
      <c r="F15" s="11">
        <v>3672301.76</v>
      </c>
      <c r="G15" s="11">
        <v>-2596.6799999999998</v>
      </c>
      <c r="H15" s="11">
        <v>12108221.84</v>
      </c>
      <c r="I15" s="11">
        <v>787713.15</v>
      </c>
      <c r="J15" s="11">
        <f>Kool!AY15</f>
        <v>0</v>
      </c>
      <c r="K15" s="12">
        <f t="shared" si="4"/>
        <v>15468839.370000003</v>
      </c>
      <c r="L15" s="11">
        <v>473043.77</v>
      </c>
      <c r="M15" s="11">
        <v>9718.1</v>
      </c>
      <c r="N15" s="11">
        <v>5660562.0699999994</v>
      </c>
      <c r="O15" s="11">
        <v>3455786.290000001</v>
      </c>
      <c r="P15" s="11">
        <v>-2691.9</v>
      </c>
      <c r="Q15" s="11">
        <v>13025344.470000001</v>
      </c>
      <c r="R15" s="11">
        <v>903122.39999999991</v>
      </c>
      <c r="S15" s="11">
        <f>Kool!AZ15</f>
        <v>0</v>
      </c>
      <c r="T15" s="12">
        <f t="shared" si="5"/>
        <v>16616004.52</v>
      </c>
      <c r="U15" s="11">
        <v>3219303.69</v>
      </c>
      <c r="V15" s="11">
        <v>2126433.56</v>
      </c>
      <c r="W15" s="11">
        <v>693568.24</v>
      </c>
      <c r="X15" s="11"/>
      <c r="Y15" s="11">
        <v>202503.7</v>
      </c>
      <c r="Z15" s="11">
        <v>242166</v>
      </c>
      <c r="AA15" s="11">
        <v>3455158.3</v>
      </c>
      <c r="AB15" s="11">
        <v>2352114.17</v>
      </c>
      <c r="AC15" s="11">
        <v>710314.75</v>
      </c>
      <c r="AD15" s="11"/>
      <c r="AE15" s="11">
        <v>209288.2</v>
      </c>
      <c r="AF15" s="11">
        <v>244404</v>
      </c>
      <c r="AG15" s="33">
        <v>1449</v>
      </c>
      <c r="AH15" s="33">
        <v>469</v>
      </c>
      <c r="AI15" s="2">
        <f t="shared" si="6"/>
        <v>1918</v>
      </c>
      <c r="AJ15" s="18">
        <f t="shared" si="7"/>
        <v>0.24452554744525548</v>
      </c>
      <c r="AK15" s="33">
        <v>1441</v>
      </c>
      <c r="AL15" s="33">
        <v>440</v>
      </c>
      <c r="AM15" s="2">
        <f t="shared" si="8"/>
        <v>1881</v>
      </c>
      <c r="AN15" s="18">
        <f t="shared" si="9"/>
        <v>0.23391812865497075</v>
      </c>
      <c r="AO15" s="2">
        <v>1583</v>
      </c>
      <c r="AP15" s="2">
        <v>486</v>
      </c>
      <c r="AQ15" s="2">
        <f t="shared" si="10"/>
        <v>2069</v>
      </c>
      <c r="AR15" s="18">
        <f t="shared" si="11"/>
        <v>0.23489608506524892</v>
      </c>
      <c r="AS15" s="34">
        <f t="shared" si="0"/>
        <v>1905.6666666666667</v>
      </c>
      <c r="AT15" s="34">
        <f t="shared" si="1"/>
        <v>1943.6666666666665</v>
      </c>
      <c r="AU15" s="34">
        <v>105</v>
      </c>
      <c r="AV15" s="34">
        <v>103</v>
      </c>
      <c r="AW15" s="34">
        <v>124</v>
      </c>
      <c r="AX15" s="34">
        <f t="shared" si="12"/>
        <v>104.33333333333334</v>
      </c>
      <c r="AY15" s="34">
        <f t="shared" si="13"/>
        <v>110</v>
      </c>
      <c r="AZ15" s="2">
        <f t="shared" si="14"/>
        <v>676.44041324121054</v>
      </c>
      <c r="BA15" s="2">
        <f t="shared" si="15"/>
        <v>529.48320097953467</v>
      </c>
      <c r="BB15" s="2">
        <f t="shared" si="16"/>
        <v>34.332537607136608</v>
      </c>
      <c r="BC15" s="2">
        <f t="shared" si="17"/>
        <v>112.62467465453926</v>
      </c>
      <c r="BD15" s="2">
        <f t="shared" si="2"/>
        <v>712.39943920425321</v>
      </c>
      <c r="BE15" s="2">
        <f t="shared" si="18"/>
        <v>558.45242968616026</v>
      </c>
      <c r="BF15" s="2">
        <f t="shared" si="19"/>
        <v>38.60532069970845</v>
      </c>
      <c r="BG15" s="2">
        <f t="shared" si="20"/>
        <v>115.34168881838451</v>
      </c>
      <c r="BH15" s="2">
        <f t="shared" si="21"/>
        <v>525.07301381843638</v>
      </c>
      <c r="BI15" s="2">
        <f t="shared" si="22"/>
        <v>123.31650341087982</v>
      </c>
      <c r="BJ15" s="2">
        <f t="shared" si="23"/>
        <v>8.8553305929683397</v>
      </c>
      <c r="BK15" s="2">
        <f t="shared" si="24"/>
        <v>19.195565418925998</v>
      </c>
      <c r="BL15" s="2">
        <f t="shared" si="3"/>
        <v>553.78332275767445</v>
      </c>
      <c r="BM15" s="20">
        <f t="shared" si="25"/>
        <v>131.29947350368721</v>
      </c>
      <c r="BN15" s="20">
        <f t="shared" si="26"/>
        <v>8.9730835191219356</v>
      </c>
      <c r="BO15" s="2">
        <f t="shared" si="27"/>
        <v>18.343559423769612</v>
      </c>
      <c r="BP15" s="18">
        <f t="shared" si="28"/>
        <v>0.78274921281311338</v>
      </c>
      <c r="BQ15" s="18">
        <f t="shared" si="29"/>
        <v>0.78390352231319693</v>
      </c>
      <c r="BR15" s="18">
        <f t="shared" si="30"/>
        <v>0.18230209342460832</v>
      </c>
      <c r="BS15" s="18">
        <f t="shared" si="31"/>
        <v>0.18430597538137888</v>
      </c>
      <c r="BT15" s="29">
        <f>BD15/Kool!BJ15</f>
        <v>1.4011830494482429</v>
      </c>
      <c r="BU15" s="27">
        <v>18.510000000000002</v>
      </c>
      <c r="BV15" s="27">
        <v>16.13</v>
      </c>
      <c r="BW15" s="27">
        <f t="shared" si="32"/>
        <v>18.265175718849839</v>
      </c>
      <c r="BX15" s="27">
        <f t="shared" si="33"/>
        <v>17.669696969696968</v>
      </c>
      <c r="BY15" s="2">
        <v>1865.79099050022</v>
      </c>
      <c r="BZ15" s="2">
        <v>1878.2703786233949</v>
      </c>
      <c r="CA15" s="2">
        <f>VLOOKUP(A15,'[1]kaugused autoga'!$A$3:$B$82,2,FALSE)</f>
        <v>1220.3</v>
      </c>
      <c r="CB15" s="29">
        <v>1.1100000000000001</v>
      </c>
      <c r="CC15">
        <v>24078</v>
      </c>
      <c r="CD15" s="18">
        <v>1.1486115478752801</v>
      </c>
      <c r="CE15" t="s">
        <v>232</v>
      </c>
      <c r="CG15" s="27">
        <f t="shared" si="34"/>
        <v>17.669696969696968</v>
      </c>
      <c r="CH15" s="2">
        <f t="shared" si="35"/>
        <v>1878.2703786233949</v>
      </c>
      <c r="CI15" s="56">
        <f t="shared" si="36"/>
        <v>1.1486115478752801</v>
      </c>
    </row>
    <row r="16" spans="1:87" ht="14.25" customHeight="1" x14ac:dyDescent="0.35">
      <c r="A16" t="s">
        <v>109</v>
      </c>
      <c r="B16" s="10" t="s">
        <v>21</v>
      </c>
      <c r="C16" s="11">
        <v>162669.49</v>
      </c>
      <c r="D16" s="11">
        <v>225.7</v>
      </c>
      <c r="E16" s="11">
        <v>1752775.14</v>
      </c>
      <c r="F16" s="11">
        <v>923069.89</v>
      </c>
      <c r="G16" s="11">
        <v>11810.4</v>
      </c>
      <c r="H16" s="11">
        <v>4594382.3100000024</v>
      </c>
      <c r="I16" s="11">
        <v>243473.81</v>
      </c>
      <c r="J16" s="11">
        <f>Kool!AY16</f>
        <v>0</v>
      </c>
      <c r="K16" s="12">
        <f t="shared" si="4"/>
        <v>5830456.5600000015</v>
      </c>
      <c r="L16" s="11">
        <v>156259.9</v>
      </c>
      <c r="M16" s="11">
        <v>486.05</v>
      </c>
      <c r="N16" s="11">
        <v>1569131.550000001</v>
      </c>
      <c r="O16" s="11">
        <v>825575.74</v>
      </c>
      <c r="P16" s="11">
        <v>11810.4</v>
      </c>
      <c r="Q16" s="11">
        <v>4510358.0700000012</v>
      </c>
      <c r="R16" s="11">
        <v>293429.76000000001</v>
      </c>
      <c r="S16" s="11">
        <f>Kool!AZ16</f>
        <v>0</v>
      </c>
      <c r="T16" s="12">
        <f t="shared" si="5"/>
        <v>5704089.5900000017</v>
      </c>
      <c r="U16" s="11">
        <v>1053415.75</v>
      </c>
      <c r="V16" s="11">
        <v>700155.33</v>
      </c>
      <c r="W16" s="11">
        <v>223467.85</v>
      </c>
      <c r="X16" s="11"/>
      <c r="Y16" s="11">
        <v>86336.5</v>
      </c>
      <c r="Z16" s="11">
        <v>83725</v>
      </c>
      <c r="AA16" s="11">
        <v>1080238.55</v>
      </c>
      <c r="AB16" s="11">
        <v>730364.33</v>
      </c>
      <c r="AC16" s="11">
        <v>246932.1</v>
      </c>
      <c r="AD16" s="11"/>
      <c r="AE16" s="11">
        <v>75786.55</v>
      </c>
      <c r="AF16" s="11">
        <v>84461</v>
      </c>
      <c r="AG16" s="33">
        <v>668</v>
      </c>
      <c r="AH16" s="33">
        <v>132</v>
      </c>
      <c r="AI16" s="2">
        <f t="shared" si="6"/>
        <v>800</v>
      </c>
      <c r="AJ16" s="18">
        <f t="shared" si="7"/>
        <v>0.16500000000000001</v>
      </c>
      <c r="AK16" s="33">
        <v>664</v>
      </c>
      <c r="AL16" s="33">
        <v>126</v>
      </c>
      <c r="AM16" s="2">
        <f t="shared" si="8"/>
        <v>790</v>
      </c>
      <c r="AN16" s="18">
        <f t="shared" si="9"/>
        <v>0.15949367088607594</v>
      </c>
      <c r="AO16" s="2">
        <v>651</v>
      </c>
      <c r="AP16" s="2">
        <v>124</v>
      </c>
      <c r="AQ16" s="2">
        <f t="shared" si="10"/>
        <v>775</v>
      </c>
      <c r="AR16" s="18">
        <f t="shared" si="11"/>
        <v>0.16</v>
      </c>
      <c r="AS16" s="34">
        <f t="shared" si="0"/>
        <v>796.66666666666674</v>
      </c>
      <c r="AT16" s="34">
        <f t="shared" si="1"/>
        <v>785</v>
      </c>
      <c r="AU16" s="34">
        <v>43</v>
      </c>
      <c r="AV16" s="34">
        <v>43</v>
      </c>
      <c r="AW16" s="34">
        <v>43</v>
      </c>
      <c r="AX16" s="34">
        <f t="shared" si="12"/>
        <v>43</v>
      </c>
      <c r="AY16" s="34">
        <f t="shared" si="13"/>
        <v>43</v>
      </c>
      <c r="AZ16" s="2">
        <f t="shared" si="14"/>
        <v>609.8803933054395</v>
      </c>
      <c r="BA16" s="2">
        <f t="shared" si="15"/>
        <v>480.58392364016754</v>
      </c>
      <c r="BB16" s="2">
        <f t="shared" si="16"/>
        <v>26.703369246861921</v>
      </c>
      <c r="BC16" s="2">
        <f t="shared" si="17"/>
        <v>102.59310041841003</v>
      </c>
      <c r="BD16" s="2">
        <f t="shared" si="2"/>
        <v>605.52968046709145</v>
      </c>
      <c r="BE16" s="2">
        <f t="shared" si="18"/>
        <v>478.80658917197462</v>
      </c>
      <c r="BF16" s="2">
        <f t="shared" si="19"/>
        <v>32.403414012738857</v>
      </c>
      <c r="BG16" s="2">
        <f t="shared" si="20"/>
        <v>94.319677282377967</v>
      </c>
      <c r="BH16" s="2">
        <f t="shared" si="21"/>
        <v>490.9326161087867</v>
      </c>
      <c r="BI16" s="2">
        <f t="shared" si="22"/>
        <v>96.613303347280308</v>
      </c>
      <c r="BJ16" s="2">
        <f t="shared" si="23"/>
        <v>9.0310146443514636</v>
      </c>
      <c r="BK16" s="2">
        <f t="shared" si="24"/>
        <v>13.303459205021023</v>
      </c>
      <c r="BL16" s="2">
        <f t="shared" si="3"/>
        <v>481.88853927813187</v>
      </c>
      <c r="BM16" s="20">
        <f t="shared" si="25"/>
        <v>103.74696709129512</v>
      </c>
      <c r="BN16" s="20">
        <f t="shared" si="26"/>
        <v>8.0452813163481967</v>
      </c>
      <c r="BO16" s="2">
        <f t="shared" si="27"/>
        <v>11.848892781316264</v>
      </c>
      <c r="BP16" s="18">
        <f t="shared" si="28"/>
        <v>0.78799700550380236</v>
      </c>
      <c r="BQ16" s="18">
        <f t="shared" si="29"/>
        <v>0.79072356750974515</v>
      </c>
      <c r="BR16" s="18">
        <f t="shared" si="30"/>
        <v>0.15841352568108311</v>
      </c>
      <c r="BS16" s="18">
        <f t="shared" si="31"/>
        <v>0.17133258771273957</v>
      </c>
      <c r="BT16" s="29">
        <f>BD16/Kool!BJ16</f>
        <v>1.1619354119186918</v>
      </c>
      <c r="BU16" s="27">
        <v>18.68</v>
      </c>
      <c r="BV16" s="27">
        <v>18.170000000000002</v>
      </c>
      <c r="BW16" s="27">
        <f t="shared" si="32"/>
        <v>18.527131782945737</v>
      </c>
      <c r="BX16" s="27">
        <f t="shared" si="33"/>
        <v>18.255813953488371</v>
      </c>
      <c r="BY16" s="2">
        <v>1750.9403573728271</v>
      </c>
      <c r="BZ16" s="2">
        <v>1735.890570097517</v>
      </c>
      <c r="CA16" s="2">
        <f>VLOOKUP(A16,'[1]kaugused autoga'!$A$3:$B$82,2,FALSE)</f>
        <v>2527.4</v>
      </c>
      <c r="CB16" s="29">
        <v>1.1299999999999999</v>
      </c>
      <c r="CC16">
        <v>12032</v>
      </c>
      <c r="CD16" s="18">
        <v>1.1640554429051992</v>
      </c>
      <c r="CE16" t="s">
        <v>232</v>
      </c>
      <c r="CG16" s="27">
        <f t="shared" si="34"/>
        <v>18.255813953488371</v>
      </c>
      <c r="CH16" s="2">
        <f t="shared" si="35"/>
        <v>1735.890570097517</v>
      </c>
      <c r="CI16" s="56">
        <f t="shared" si="36"/>
        <v>1.1640554429051992</v>
      </c>
    </row>
    <row r="17" spans="1:87" ht="14.25" customHeight="1" x14ac:dyDescent="0.35">
      <c r="A17" t="s">
        <v>108</v>
      </c>
      <c r="B17" s="10" t="s">
        <v>22</v>
      </c>
      <c r="C17" s="11">
        <v>350618.67</v>
      </c>
      <c r="D17" s="11">
        <v>8868.5</v>
      </c>
      <c r="E17" s="14">
        <f>3950612.99+W17</f>
        <v>4320535.5674824687</v>
      </c>
      <c r="F17" s="11">
        <v>2208058.63</v>
      </c>
      <c r="G17" s="11">
        <v>280797.5</v>
      </c>
      <c r="H17" s="11">
        <v>8685450.3800000008</v>
      </c>
      <c r="I17" s="11">
        <v>616593.00999999989</v>
      </c>
      <c r="J17" s="11">
        <f>Kool!AY17</f>
        <v>0</v>
      </c>
      <c r="K17" s="12">
        <f t="shared" si="4"/>
        <v>11774007.497482469</v>
      </c>
      <c r="L17" s="11">
        <v>416311.74</v>
      </c>
      <c r="M17" s="11">
        <v>16871.27</v>
      </c>
      <c r="N17" s="14">
        <f>3814765.14+AC17</f>
        <v>4233152.7340119267</v>
      </c>
      <c r="O17" s="11">
        <v>1846348.82</v>
      </c>
      <c r="P17" s="11">
        <v>401502</v>
      </c>
      <c r="Q17" s="11">
        <v>9301820.2799999993</v>
      </c>
      <c r="R17" s="11">
        <v>590642.36</v>
      </c>
      <c r="S17" s="11">
        <f>Kool!AZ17</f>
        <v>0</v>
      </c>
      <c r="T17" s="12">
        <f t="shared" si="5"/>
        <v>12712449.564011924</v>
      </c>
      <c r="U17" s="14">
        <f>1442718.69+W17</f>
        <v>1812641.2674824684</v>
      </c>
      <c r="V17" s="11">
        <v>1139691.1100000001</v>
      </c>
      <c r="W17" s="14">
        <f>W$84*AS17</f>
        <v>369922.57748246851</v>
      </c>
      <c r="X17" s="11"/>
      <c r="Y17" s="11">
        <v>285300.2</v>
      </c>
      <c r="Z17" s="11">
        <v>198942</v>
      </c>
      <c r="AA17" s="14">
        <f>1531167.41+AC17</f>
        <v>1949555.0040119262</v>
      </c>
      <c r="AB17" s="11">
        <v>1255334.44</v>
      </c>
      <c r="AC17" s="14">
        <f>AC$84*AT17</f>
        <v>418387.59401192627</v>
      </c>
      <c r="AD17" s="11"/>
      <c r="AE17" s="11">
        <v>266639.13</v>
      </c>
      <c r="AF17" s="11">
        <v>205853</v>
      </c>
      <c r="AG17" s="33">
        <v>1397</v>
      </c>
      <c r="AH17" s="33">
        <v>212</v>
      </c>
      <c r="AI17" s="2">
        <f t="shared" si="6"/>
        <v>1609</v>
      </c>
      <c r="AJ17" s="18">
        <f t="shared" si="7"/>
        <v>0.13175885643256682</v>
      </c>
      <c r="AK17" s="33">
        <v>1461</v>
      </c>
      <c r="AL17" s="33">
        <v>203</v>
      </c>
      <c r="AM17" s="2">
        <f t="shared" si="8"/>
        <v>1664</v>
      </c>
      <c r="AN17" s="18">
        <f t="shared" si="9"/>
        <v>0.1219951923076923</v>
      </c>
      <c r="AO17" s="2">
        <v>1438</v>
      </c>
      <c r="AP17" s="2">
        <v>195</v>
      </c>
      <c r="AQ17" s="2">
        <f t="shared" si="10"/>
        <v>1633</v>
      </c>
      <c r="AR17" s="18">
        <f t="shared" si="11"/>
        <v>0.11941212492345377</v>
      </c>
      <c r="AS17" s="34">
        <f t="shared" si="0"/>
        <v>1627.3333333333335</v>
      </c>
      <c r="AT17" s="34">
        <f t="shared" si="1"/>
        <v>1653.6666666666665</v>
      </c>
      <c r="AU17" s="34">
        <v>80</v>
      </c>
      <c r="AV17" s="34">
        <v>86</v>
      </c>
      <c r="AW17" s="34">
        <v>90</v>
      </c>
      <c r="AX17" s="34">
        <f t="shared" si="12"/>
        <v>82</v>
      </c>
      <c r="AY17" s="34">
        <f t="shared" si="13"/>
        <v>87.333333333333343</v>
      </c>
      <c r="AZ17" s="2">
        <f t="shared" si="14"/>
        <v>602.92951134178963</v>
      </c>
      <c r="BA17" s="2">
        <f t="shared" si="15"/>
        <v>444.76906902908644</v>
      </c>
      <c r="BB17" s="2">
        <f t="shared" si="16"/>
        <v>45.954040864399822</v>
      </c>
      <c r="BC17" s="2">
        <f t="shared" si="17"/>
        <v>112.20640144830338</v>
      </c>
      <c r="BD17" s="2">
        <f t="shared" si="2"/>
        <v>640.61930880930879</v>
      </c>
      <c r="BE17" s="2">
        <f t="shared" si="18"/>
        <v>468.74724249143316</v>
      </c>
      <c r="BF17" s="2">
        <f t="shared" si="19"/>
        <v>49.997196129812544</v>
      </c>
      <c r="BG17" s="2">
        <f t="shared" si="20"/>
        <v>121.87487018806308</v>
      </c>
      <c r="BH17" s="2">
        <f t="shared" si="21"/>
        <v>499.91930714870955</v>
      </c>
      <c r="BI17" s="2">
        <f t="shared" si="22"/>
        <v>77.305084365140743</v>
      </c>
      <c r="BJ17" s="2">
        <f t="shared" si="23"/>
        <v>14.609801310938138</v>
      </c>
      <c r="BK17" s="2">
        <f t="shared" si="24"/>
        <v>11.095318517001203</v>
      </c>
      <c r="BL17" s="2">
        <f t="shared" si="3"/>
        <v>532.00169119129202</v>
      </c>
      <c r="BM17" s="20">
        <f t="shared" si="25"/>
        <v>84.343984781895102</v>
      </c>
      <c r="BN17" s="20">
        <f t="shared" si="26"/>
        <v>13.436763253376336</v>
      </c>
      <c r="BO17" s="2">
        <f t="shared" si="27"/>
        <v>10.836869582745328</v>
      </c>
      <c r="BP17" s="18">
        <f t="shared" si="28"/>
        <v>0.73768004495131612</v>
      </c>
      <c r="BQ17" s="18">
        <f t="shared" si="29"/>
        <v>0.73170951303774034</v>
      </c>
      <c r="BR17" s="18">
        <f t="shared" si="30"/>
        <v>0.12821579125079169</v>
      </c>
      <c r="BS17" s="18">
        <f t="shared" si="31"/>
        <v>0.13166007271722982</v>
      </c>
      <c r="BT17" s="29">
        <f>BD17/Kool!BJ17</f>
        <v>1.2784995937488568</v>
      </c>
      <c r="BU17" s="27">
        <v>19.73</v>
      </c>
      <c r="BV17" s="27">
        <v>18.66</v>
      </c>
      <c r="BW17" s="27">
        <f t="shared" si="32"/>
        <v>19.845528455284555</v>
      </c>
      <c r="BX17" s="27">
        <f t="shared" si="33"/>
        <v>18.935114503816791</v>
      </c>
      <c r="BY17" s="2">
        <v>1906.0666309508811</v>
      </c>
      <c r="BZ17" s="2">
        <v>1931.520447877373</v>
      </c>
      <c r="CA17" s="2">
        <f>VLOOKUP(A17,'[1]kaugused autoga'!$A$3:$B$82,2,FALSE)</f>
        <v>1828.5</v>
      </c>
      <c r="CB17" s="29">
        <v>1.28</v>
      </c>
      <c r="CC17">
        <v>26035</v>
      </c>
      <c r="CD17" s="18">
        <v>1.1131766868052446</v>
      </c>
      <c r="CE17" t="s">
        <v>232</v>
      </c>
      <c r="CG17" s="27">
        <f t="shared" si="34"/>
        <v>18.935114503816791</v>
      </c>
      <c r="CH17" s="2">
        <f t="shared" si="35"/>
        <v>1931.520447877373</v>
      </c>
      <c r="CI17" s="56">
        <f t="shared" si="36"/>
        <v>1.1131766868052446</v>
      </c>
    </row>
    <row r="18" spans="1:87" ht="14.25" customHeight="1" x14ac:dyDescent="0.35">
      <c r="A18" t="s">
        <v>97</v>
      </c>
      <c r="B18" s="10" t="s">
        <v>23</v>
      </c>
      <c r="C18" s="11">
        <v>248322.09</v>
      </c>
      <c r="D18" s="13"/>
      <c r="E18" s="11">
        <v>5630387.3800000018</v>
      </c>
      <c r="F18" s="11">
        <v>4450009.82</v>
      </c>
      <c r="G18" s="11">
        <v>302901.32</v>
      </c>
      <c r="H18" s="11">
        <v>4082441.459999999</v>
      </c>
      <c r="I18" s="11">
        <v>156647.54999999999</v>
      </c>
      <c r="J18" s="11">
        <f>Kool!AY18</f>
        <v>37810.73576085618</v>
      </c>
      <c r="K18" s="12">
        <f t="shared" si="4"/>
        <v>5705599.3957608566</v>
      </c>
      <c r="L18" s="11">
        <v>345084.83</v>
      </c>
      <c r="M18" s="11">
        <v>3148.27</v>
      </c>
      <c r="N18" s="11">
        <v>5485623.1000000006</v>
      </c>
      <c r="O18" s="11">
        <v>3938142.2</v>
      </c>
      <c r="P18" s="11">
        <v>311231.23</v>
      </c>
      <c r="Q18" s="11">
        <v>4512757.5699999994</v>
      </c>
      <c r="R18" s="11">
        <v>201442.31</v>
      </c>
      <c r="S18" s="11">
        <f>Kool!AZ18</f>
        <v>37940.160569597305</v>
      </c>
      <c r="T18" s="12">
        <f t="shared" si="5"/>
        <v>6647854.040569596</v>
      </c>
      <c r="U18" s="11">
        <v>952952.58000000031</v>
      </c>
      <c r="V18" s="11">
        <v>623166.19000000006</v>
      </c>
      <c r="W18" s="11">
        <v>202089.4</v>
      </c>
      <c r="X18" s="11"/>
      <c r="Y18" s="11">
        <v>52881.920000000013</v>
      </c>
      <c r="Z18" s="11">
        <v>197097</v>
      </c>
      <c r="AA18" s="11">
        <v>1009395.28</v>
      </c>
      <c r="AB18" s="11">
        <v>711768</v>
      </c>
      <c r="AC18" s="11">
        <v>207153.29</v>
      </c>
      <c r="AD18" s="11"/>
      <c r="AE18" s="11">
        <v>51121</v>
      </c>
      <c r="AF18" s="11">
        <v>191007</v>
      </c>
      <c r="AG18" s="33">
        <v>779</v>
      </c>
      <c r="AH18" s="33">
        <v>34</v>
      </c>
      <c r="AI18" s="2">
        <f t="shared" si="6"/>
        <v>813</v>
      </c>
      <c r="AJ18" s="18">
        <f t="shared" si="7"/>
        <v>4.1820418204182044E-2</v>
      </c>
      <c r="AK18" s="33">
        <v>773</v>
      </c>
      <c r="AL18" s="33">
        <v>32</v>
      </c>
      <c r="AM18" s="2">
        <f t="shared" si="8"/>
        <v>805</v>
      </c>
      <c r="AN18" s="18">
        <f t="shared" si="9"/>
        <v>3.9751552795031057E-2</v>
      </c>
      <c r="AO18" s="2">
        <v>744</v>
      </c>
      <c r="AP18" s="2">
        <v>31</v>
      </c>
      <c r="AQ18" s="2">
        <f t="shared" si="10"/>
        <v>775</v>
      </c>
      <c r="AR18" s="18">
        <f t="shared" si="11"/>
        <v>0.04</v>
      </c>
      <c r="AS18" s="34">
        <f t="shared" si="0"/>
        <v>810.33333333333326</v>
      </c>
      <c r="AT18" s="34">
        <f t="shared" si="1"/>
        <v>795</v>
      </c>
      <c r="AU18" s="34">
        <v>41</v>
      </c>
      <c r="AV18" s="34">
        <v>41</v>
      </c>
      <c r="AW18" s="34">
        <v>48</v>
      </c>
      <c r="AX18" s="34">
        <f t="shared" si="12"/>
        <v>41</v>
      </c>
      <c r="AY18" s="34">
        <f t="shared" si="13"/>
        <v>43.333333333333329</v>
      </c>
      <c r="AZ18" s="2">
        <f t="shared" si="14"/>
        <v>586.75435990959033</v>
      </c>
      <c r="BA18" s="2">
        <f t="shared" si="15"/>
        <v>419.8314952694364</v>
      </c>
      <c r="BB18" s="2">
        <f t="shared" si="16"/>
        <v>47.259242081447972</v>
      </c>
      <c r="BC18" s="2">
        <f t="shared" si="17"/>
        <v>119.66362255870595</v>
      </c>
      <c r="BD18" s="2">
        <f t="shared" si="2"/>
        <v>696.84004618129939</v>
      </c>
      <c r="BE18" s="2">
        <f t="shared" si="18"/>
        <v>473.03538469601671</v>
      </c>
      <c r="BF18" s="2">
        <f t="shared" si="19"/>
        <v>53.739364779874215</v>
      </c>
      <c r="BG18" s="2">
        <f t="shared" si="20"/>
        <v>170.06529670540846</v>
      </c>
      <c r="BH18" s="2">
        <f t="shared" si="21"/>
        <v>468.48517233246162</v>
      </c>
      <c r="BI18" s="2">
        <f t="shared" si="22"/>
        <v>84.8679134101193</v>
      </c>
      <c r="BJ18" s="2">
        <f t="shared" si="23"/>
        <v>5.4382887700534779</v>
      </c>
      <c r="BK18" s="2">
        <f t="shared" si="24"/>
        <v>27.96298539695594</v>
      </c>
      <c r="BL18" s="2">
        <f t="shared" si="3"/>
        <v>571.01171494440212</v>
      </c>
      <c r="BM18" s="20">
        <f t="shared" si="25"/>
        <v>96.32298637316562</v>
      </c>
      <c r="BN18" s="20">
        <f t="shared" si="26"/>
        <v>5.35859538784067</v>
      </c>
      <c r="BO18" s="2">
        <f t="shared" si="27"/>
        <v>24.146749475890982</v>
      </c>
      <c r="BP18" s="18">
        <f t="shared" si="28"/>
        <v>0.71551491382889065</v>
      </c>
      <c r="BQ18" s="18">
        <f t="shared" si="29"/>
        <v>0.67882921954365605</v>
      </c>
      <c r="BR18" s="18">
        <f t="shared" si="30"/>
        <v>0.14463959572996801</v>
      </c>
      <c r="BS18" s="18">
        <f t="shared" si="31"/>
        <v>0.13822825898284399</v>
      </c>
      <c r="BT18" s="29">
        <f>BD18/Kool!BJ18</f>
        <v>1.2806766979736528</v>
      </c>
      <c r="BU18" s="27">
        <v>19.95</v>
      </c>
      <c r="BV18" s="27">
        <v>16.87</v>
      </c>
      <c r="BW18" s="27">
        <f t="shared" si="32"/>
        <v>19.76422764227642</v>
      </c>
      <c r="BX18" s="27">
        <f t="shared" si="33"/>
        <v>18.346153846153847</v>
      </c>
      <c r="BY18" s="2">
        <v>1909.5208218337939</v>
      </c>
      <c r="BZ18" s="2">
        <v>1984.9517827964521</v>
      </c>
      <c r="CA18" s="2">
        <f>VLOOKUP(A18,'[1]kaugused autoga'!$A$3:$B$82,2,FALSE)</f>
        <v>894.5</v>
      </c>
      <c r="CB18" s="29">
        <v>1</v>
      </c>
      <c r="CC18">
        <v>22944</v>
      </c>
      <c r="CD18" s="18">
        <v>1.3746969314864237</v>
      </c>
      <c r="CE18" t="s">
        <v>232</v>
      </c>
      <c r="CG18" s="27">
        <f t="shared" si="34"/>
        <v>18.346153846153847</v>
      </c>
      <c r="CH18" s="2">
        <f t="shared" si="35"/>
        <v>1984.9517827964521</v>
      </c>
      <c r="CI18" s="56">
        <f t="shared" si="36"/>
        <v>1.3746969314864237</v>
      </c>
    </row>
    <row r="19" spans="1:87" ht="14.25" customHeight="1" x14ac:dyDescent="0.35">
      <c r="A19" t="s">
        <v>138</v>
      </c>
      <c r="B19" s="10" t="s">
        <v>24</v>
      </c>
      <c r="C19" s="11">
        <v>171242.29</v>
      </c>
      <c r="D19" s="11">
        <v>164.39</v>
      </c>
      <c r="E19" s="11">
        <v>1037088.33</v>
      </c>
      <c r="F19" s="11">
        <v>138617.63</v>
      </c>
      <c r="G19" s="11">
        <v>117268.76</v>
      </c>
      <c r="H19" s="11">
        <v>4358204.6500000013</v>
      </c>
      <c r="I19" s="11">
        <v>175851.44</v>
      </c>
      <c r="J19" s="11">
        <f>Kool!AY19</f>
        <v>0</v>
      </c>
      <c r="K19" s="12">
        <f t="shared" si="4"/>
        <v>5603933.4700000016</v>
      </c>
      <c r="L19" s="11">
        <v>192158.67</v>
      </c>
      <c r="M19" s="11">
        <v>1231.3800000000001</v>
      </c>
      <c r="N19" s="11">
        <v>1083328.6599999999</v>
      </c>
      <c r="O19" s="11">
        <v>103432.55</v>
      </c>
      <c r="P19" s="11">
        <v>116379.71</v>
      </c>
      <c r="Q19" s="11">
        <v>4564488.790000001</v>
      </c>
      <c r="R19" s="11">
        <v>180939.27</v>
      </c>
      <c r="S19" s="11">
        <f>Kool!AZ19</f>
        <v>0</v>
      </c>
      <c r="T19" s="12">
        <f t="shared" si="5"/>
        <v>5918714.2200000007</v>
      </c>
      <c r="U19" s="11">
        <v>682694.29999999993</v>
      </c>
      <c r="V19" s="11">
        <v>440901.17</v>
      </c>
      <c r="W19" s="11">
        <v>90523.06</v>
      </c>
      <c r="X19" s="11"/>
      <c r="Y19" s="11">
        <v>106732</v>
      </c>
      <c r="Z19" s="11">
        <v>191872</v>
      </c>
      <c r="AA19" s="11">
        <v>966211.10999999987</v>
      </c>
      <c r="AB19" s="11">
        <v>584098.1</v>
      </c>
      <c r="AC19" s="11">
        <v>146643.82999999999</v>
      </c>
      <c r="AD19" s="11"/>
      <c r="AE19" s="11">
        <v>125739.75</v>
      </c>
      <c r="AF19" s="11">
        <v>192165</v>
      </c>
      <c r="AG19" s="33">
        <v>364</v>
      </c>
      <c r="AH19" s="33">
        <v>323</v>
      </c>
      <c r="AI19" s="2">
        <f t="shared" si="6"/>
        <v>687</v>
      </c>
      <c r="AJ19" s="18">
        <f t="shared" si="7"/>
        <v>0.47016011644832606</v>
      </c>
      <c r="AK19" s="33">
        <v>454</v>
      </c>
      <c r="AL19" s="33">
        <v>218</v>
      </c>
      <c r="AM19" s="2">
        <f t="shared" si="8"/>
        <v>672</v>
      </c>
      <c r="AN19" s="18">
        <f t="shared" si="9"/>
        <v>0.32440476190476192</v>
      </c>
      <c r="AO19" s="2">
        <v>423</v>
      </c>
      <c r="AP19" s="2">
        <v>209</v>
      </c>
      <c r="AQ19" s="2">
        <f t="shared" si="10"/>
        <v>632</v>
      </c>
      <c r="AR19" s="18">
        <f t="shared" si="11"/>
        <v>0.33069620253164556</v>
      </c>
      <c r="AS19" s="34">
        <f t="shared" si="0"/>
        <v>682</v>
      </c>
      <c r="AT19" s="34">
        <f t="shared" si="1"/>
        <v>658.66666666666663</v>
      </c>
      <c r="AU19" s="34">
        <v>43</v>
      </c>
      <c r="AV19" s="34">
        <v>42</v>
      </c>
      <c r="AW19" s="34">
        <v>42</v>
      </c>
      <c r="AX19" s="34">
        <f t="shared" si="12"/>
        <v>42.666666666666671</v>
      </c>
      <c r="AY19" s="34">
        <f t="shared" si="13"/>
        <v>42</v>
      </c>
      <c r="AZ19" s="2">
        <f t="shared" si="14"/>
        <v>684.74260386119283</v>
      </c>
      <c r="BA19" s="2">
        <f t="shared" si="15"/>
        <v>532.52744990224846</v>
      </c>
      <c r="BB19" s="2">
        <f t="shared" si="16"/>
        <v>35.816251221896387</v>
      </c>
      <c r="BC19" s="2">
        <f t="shared" si="17"/>
        <v>116.39890273704799</v>
      </c>
      <c r="BD19" s="2">
        <f t="shared" si="2"/>
        <v>748.82517965587056</v>
      </c>
      <c r="BE19" s="2">
        <f t="shared" si="18"/>
        <v>577.49099063765198</v>
      </c>
      <c r="BF19" s="2">
        <f t="shared" si="19"/>
        <v>37.616267712550609</v>
      </c>
      <c r="BG19" s="2">
        <f t="shared" si="20"/>
        <v>133.71792130566797</v>
      </c>
      <c r="BH19" s="2">
        <f t="shared" si="21"/>
        <v>577.87966397849482</v>
      </c>
      <c r="BI19" s="2">
        <f t="shared" si="22"/>
        <v>64.934534457477994</v>
      </c>
      <c r="BJ19" s="2">
        <f t="shared" si="23"/>
        <v>13.041544477028348</v>
      </c>
      <c r="BK19" s="2">
        <f t="shared" si="24"/>
        <v>28.886860948191675</v>
      </c>
      <c r="BL19" s="2">
        <f t="shared" si="3"/>
        <v>602.26949772267233</v>
      </c>
      <c r="BM19" s="20">
        <f t="shared" si="25"/>
        <v>92.452167257085023</v>
      </c>
      <c r="BN19" s="20">
        <f t="shared" si="26"/>
        <v>15.908369180161943</v>
      </c>
      <c r="BO19" s="2">
        <f t="shared" si="27"/>
        <v>38.195145495951266</v>
      </c>
      <c r="BP19" s="18">
        <f t="shared" si="28"/>
        <v>0.7777045665033564</v>
      </c>
      <c r="BQ19" s="18">
        <f t="shared" si="29"/>
        <v>0.77119600986580505</v>
      </c>
      <c r="BR19" s="18">
        <f t="shared" si="30"/>
        <v>9.4830574425074268E-2</v>
      </c>
      <c r="BS19" s="18">
        <f t="shared" si="31"/>
        <v>0.12346295205988167</v>
      </c>
      <c r="BT19" s="29">
        <f>BD19/Kool!BJ19</f>
        <v>1.0682002163562694</v>
      </c>
      <c r="BU19" s="27">
        <v>15.98</v>
      </c>
      <c r="BV19" s="27">
        <v>15.22</v>
      </c>
      <c r="BW19" s="27">
        <f t="shared" si="32"/>
        <v>15.984374999999998</v>
      </c>
      <c r="BX19" s="27">
        <f t="shared" si="33"/>
        <v>15.682539682539682</v>
      </c>
      <c r="BY19" s="2">
        <v>1892.767864188763</v>
      </c>
      <c r="BZ19" s="2">
        <v>1729.966625155666</v>
      </c>
      <c r="CA19" s="2">
        <f>VLOOKUP(A19,'[1]kaugused autoga'!$A$3:$B$82,2,FALSE)</f>
        <v>2199.1</v>
      </c>
      <c r="CB19" s="29">
        <v>1.69</v>
      </c>
      <c r="CC19">
        <v>13820</v>
      </c>
      <c r="CD19" s="18">
        <v>1.0028017174012123</v>
      </c>
      <c r="CE19" t="s">
        <v>234</v>
      </c>
      <c r="CG19" s="27">
        <f t="shared" si="34"/>
        <v>15.682539682539682</v>
      </c>
      <c r="CH19" s="2">
        <f t="shared" si="35"/>
        <v>1729.966625155666</v>
      </c>
      <c r="CI19" s="56">
        <f t="shared" si="36"/>
        <v>1.0028017174012123</v>
      </c>
    </row>
    <row r="20" spans="1:87" ht="14.25" customHeight="1" x14ac:dyDescent="0.35">
      <c r="A20" t="s">
        <v>158</v>
      </c>
      <c r="B20" s="10" t="s">
        <v>25</v>
      </c>
      <c r="C20" s="11">
        <v>57851.16</v>
      </c>
      <c r="D20" s="11">
        <v>1334.19</v>
      </c>
      <c r="E20" s="11">
        <v>330825.33</v>
      </c>
      <c r="F20" s="11">
        <v>42566</v>
      </c>
      <c r="G20" s="11"/>
      <c r="H20" s="11">
        <v>2110567.2400000002</v>
      </c>
      <c r="I20" s="11">
        <v>88017.33</v>
      </c>
      <c r="J20" s="11">
        <f>Kool!AY20</f>
        <v>0</v>
      </c>
      <c r="K20" s="12">
        <f t="shared" si="4"/>
        <v>2546029.2500000005</v>
      </c>
      <c r="L20" s="11">
        <v>62490.89</v>
      </c>
      <c r="M20" s="11">
        <v>1655.59</v>
      </c>
      <c r="N20" s="11">
        <v>325254.67</v>
      </c>
      <c r="O20" s="11">
        <v>24620.560000000001</v>
      </c>
      <c r="P20" s="11"/>
      <c r="Q20" s="11">
        <v>2232105.9500000002</v>
      </c>
      <c r="R20" s="11">
        <v>81624.160000000003</v>
      </c>
      <c r="S20" s="11">
        <f>Kool!AZ20</f>
        <v>0</v>
      </c>
      <c r="T20" s="12">
        <f t="shared" si="5"/>
        <v>2678510.7000000002</v>
      </c>
      <c r="U20" s="11">
        <v>234349.17</v>
      </c>
      <c r="V20" s="11">
        <v>168860.92</v>
      </c>
      <c r="W20" s="11">
        <v>9343</v>
      </c>
      <c r="X20" s="11"/>
      <c r="Y20" s="11">
        <v>46050</v>
      </c>
      <c r="Z20" s="11">
        <v>108370</v>
      </c>
      <c r="AA20" s="11">
        <v>233231.22</v>
      </c>
      <c r="AB20" s="11">
        <v>178465.9</v>
      </c>
      <c r="AC20" s="11">
        <v>9129</v>
      </c>
      <c r="AD20" s="11"/>
      <c r="AE20" s="11">
        <v>37940</v>
      </c>
      <c r="AF20" s="11">
        <v>107260</v>
      </c>
      <c r="AG20" s="33">
        <v>318</v>
      </c>
      <c r="AH20" s="33">
        <v>22</v>
      </c>
      <c r="AI20" s="2">
        <f t="shared" si="6"/>
        <v>340</v>
      </c>
      <c r="AJ20" s="18">
        <f t="shared" si="7"/>
        <v>6.4705882352941183E-2</v>
      </c>
      <c r="AK20" s="33">
        <v>312</v>
      </c>
      <c r="AL20" s="33">
        <v>18</v>
      </c>
      <c r="AM20" s="2">
        <f t="shared" si="8"/>
        <v>330</v>
      </c>
      <c r="AN20" s="18">
        <f t="shared" si="9"/>
        <v>5.4545454545454543E-2</v>
      </c>
      <c r="AO20" s="2">
        <v>311</v>
      </c>
      <c r="AP20" s="2">
        <v>21</v>
      </c>
      <c r="AQ20" s="2">
        <f t="shared" si="10"/>
        <v>332</v>
      </c>
      <c r="AR20" s="18">
        <f t="shared" si="11"/>
        <v>6.3253012048192767E-2</v>
      </c>
      <c r="AS20" s="34">
        <f t="shared" si="0"/>
        <v>336.66666666666663</v>
      </c>
      <c r="AT20" s="34">
        <f t="shared" si="1"/>
        <v>330.66666666666669</v>
      </c>
      <c r="AU20" s="34">
        <v>21</v>
      </c>
      <c r="AV20" s="34">
        <v>21</v>
      </c>
      <c r="AW20" s="34">
        <v>21</v>
      </c>
      <c r="AX20" s="34">
        <f t="shared" si="12"/>
        <v>21</v>
      </c>
      <c r="AY20" s="34">
        <f t="shared" si="13"/>
        <v>21</v>
      </c>
      <c r="AZ20" s="2">
        <f t="shared" si="14"/>
        <v>630.20525990099031</v>
      </c>
      <c r="BA20" s="2">
        <f t="shared" si="15"/>
        <v>522.41763366336647</v>
      </c>
      <c r="BB20" s="2">
        <f t="shared" si="16"/>
        <v>21.786467821782182</v>
      </c>
      <c r="BC20" s="2">
        <f t="shared" si="17"/>
        <v>86.001158415841658</v>
      </c>
      <c r="BD20" s="2">
        <f t="shared" si="2"/>
        <v>675.02789818548388</v>
      </c>
      <c r="BE20" s="2">
        <f t="shared" si="18"/>
        <v>562.52670110887095</v>
      </c>
      <c r="BF20" s="2">
        <f t="shared" si="19"/>
        <v>20.570604838709677</v>
      </c>
      <c r="BG20" s="2">
        <f t="shared" si="20"/>
        <v>91.930592237903255</v>
      </c>
      <c r="BH20" s="2">
        <f t="shared" si="21"/>
        <v>545.37378217821799</v>
      </c>
      <c r="BI20" s="2">
        <f t="shared" si="22"/>
        <v>44.109881188118827</v>
      </c>
      <c r="BJ20" s="2">
        <f t="shared" si="23"/>
        <v>11.398514851485151</v>
      </c>
      <c r="BK20" s="2">
        <f t="shared" si="24"/>
        <v>29.32308168316834</v>
      </c>
      <c r="BL20" s="2">
        <f t="shared" si="3"/>
        <v>589.21861895161294</v>
      </c>
      <c r="BM20" s="20">
        <f t="shared" si="25"/>
        <v>47.276940524193549</v>
      </c>
      <c r="BN20" s="20">
        <f t="shared" si="26"/>
        <v>9.5614919354838701</v>
      </c>
      <c r="BO20" s="2">
        <f t="shared" si="27"/>
        <v>28.970846774193518</v>
      </c>
      <c r="BP20" s="18">
        <f t="shared" si="28"/>
        <v>0.8289642548293582</v>
      </c>
      <c r="BQ20" s="18">
        <f t="shared" si="29"/>
        <v>0.83333844811596236</v>
      </c>
      <c r="BR20" s="18">
        <f t="shared" si="30"/>
        <v>6.9992880089653334E-2</v>
      </c>
      <c r="BS20" s="18">
        <f t="shared" si="31"/>
        <v>7.003701721258758E-2</v>
      </c>
      <c r="BT20" s="29">
        <f>BD20/Kool!BJ20</f>
        <v>0.99856423293349572</v>
      </c>
      <c r="BU20" s="27">
        <v>15.62</v>
      </c>
      <c r="BV20" s="27">
        <v>15.8</v>
      </c>
      <c r="BW20" s="27">
        <f t="shared" si="32"/>
        <v>16.031746031746032</v>
      </c>
      <c r="BX20" s="27">
        <f t="shared" si="33"/>
        <v>15.746031746031747</v>
      </c>
      <c r="BY20" s="2">
        <v>1703.7335386253039</v>
      </c>
      <c r="BZ20" s="2">
        <v>1636.1448196308729</v>
      </c>
      <c r="CA20" s="2">
        <f>VLOOKUP(A20,'[1]kaugused autoga'!$A$3:$B$82,2,FALSE)</f>
        <v>3743.2</v>
      </c>
      <c r="CB20" s="29">
        <v>1.73</v>
      </c>
      <c r="CC20">
        <v>9778</v>
      </c>
      <c r="CD20" s="18">
        <v>1.2685093457813637</v>
      </c>
      <c r="CE20" t="s">
        <v>232</v>
      </c>
      <c r="CG20" s="27">
        <f t="shared" si="34"/>
        <v>15.746031746031747</v>
      </c>
      <c r="CH20" s="2">
        <f t="shared" si="35"/>
        <v>1636.1448196308729</v>
      </c>
      <c r="CI20" s="56">
        <f t="shared" si="36"/>
        <v>1.2685093457813637</v>
      </c>
    </row>
    <row r="21" spans="1:87" ht="14.25" customHeight="1" x14ac:dyDescent="0.35">
      <c r="A21" t="s">
        <v>153</v>
      </c>
      <c r="B21" s="10" t="s">
        <v>26</v>
      </c>
      <c r="C21" s="11">
        <v>76537.06</v>
      </c>
      <c r="D21" s="11">
        <v>392.11</v>
      </c>
      <c r="E21" s="11">
        <v>908841.42</v>
      </c>
      <c r="F21" s="11">
        <v>536732.87000000011</v>
      </c>
      <c r="G21" s="11"/>
      <c r="H21" s="11">
        <v>3077697.87</v>
      </c>
      <c r="I21" s="11">
        <v>165618.78</v>
      </c>
      <c r="J21" s="11">
        <f>Kool!AY21</f>
        <v>0</v>
      </c>
      <c r="K21" s="12">
        <f t="shared" si="4"/>
        <v>3692354.3699999996</v>
      </c>
      <c r="L21" s="11">
        <v>54743.69</v>
      </c>
      <c r="M21" s="13"/>
      <c r="N21" s="11">
        <v>771939.62</v>
      </c>
      <c r="O21" s="11">
        <v>444537.63000000012</v>
      </c>
      <c r="P21" s="11"/>
      <c r="Q21" s="11">
        <v>3063491.1</v>
      </c>
      <c r="R21" s="11">
        <v>149917.16</v>
      </c>
      <c r="S21" s="11">
        <f>Kool!AZ21</f>
        <v>0</v>
      </c>
      <c r="T21" s="12">
        <f t="shared" si="5"/>
        <v>3595553.9400000004</v>
      </c>
      <c r="U21" s="11">
        <v>901325.09000000008</v>
      </c>
      <c r="V21" s="11">
        <v>172766.8</v>
      </c>
      <c r="W21" s="11">
        <v>185018.04</v>
      </c>
      <c r="X21" s="11"/>
      <c r="Y21" s="11">
        <v>96115.5</v>
      </c>
      <c r="Z21" s="11">
        <v>211695</v>
      </c>
      <c r="AA21" s="11">
        <v>863722.76000000013</v>
      </c>
      <c r="AB21" s="11">
        <v>157175.64000000001</v>
      </c>
      <c r="AC21" s="11">
        <v>180844.14</v>
      </c>
      <c r="AD21" s="11"/>
      <c r="AE21" s="11">
        <v>133855.95000000001</v>
      </c>
      <c r="AF21" s="11">
        <v>209515</v>
      </c>
      <c r="AG21" s="33">
        <v>523</v>
      </c>
      <c r="AH21" s="33">
        <v>0</v>
      </c>
      <c r="AI21" s="2">
        <f t="shared" si="6"/>
        <v>523</v>
      </c>
      <c r="AJ21" s="18">
        <f t="shared" si="7"/>
        <v>0</v>
      </c>
      <c r="AK21" s="33">
        <v>476</v>
      </c>
      <c r="AL21" s="33">
        <v>0</v>
      </c>
      <c r="AM21" s="2">
        <f t="shared" si="8"/>
        <v>476</v>
      </c>
      <c r="AN21" s="18">
        <f t="shared" si="9"/>
        <v>0</v>
      </c>
      <c r="AO21" s="2">
        <v>448</v>
      </c>
      <c r="AP21" s="2">
        <v>0</v>
      </c>
      <c r="AQ21" s="2">
        <f t="shared" si="10"/>
        <v>448</v>
      </c>
      <c r="AR21" s="18">
        <f t="shared" si="11"/>
        <v>0</v>
      </c>
      <c r="AS21" s="34">
        <f t="shared" si="0"/>
        <v>507.33333333333337</v>
      </c>
      <c r="AT21" s="34">
        <f t="shared" si="1"/>
        <v>466.66666666666663</v>
      </c>
      <c r="AU21" s="34">
        <v>30</v>
      </c>
      <c r="AV21" s="34">
        <v>30</v>
      </c>
      <c r="AW21" s="34">
        <v>30</v>
      </c>
      <c r="AX21" s="34">
        <f t="shared" si="12"/>
        <v>30</v>
      </c>
      <c r="AY21" s="34">
        <f t="shared" si="13"/>
        <v>30</v>
      </c>
      <c r="AZ21" s="2">
        <f t="shared" si="14"/>
        <v>606.49710413929029</v>
      </c>
      <c r="BA21" s="2">
        <f t="shared" si="15"/>
        <v>505.53512976346912</v>
      </c>
      <c r="BB21" s="2">
        <f t="shared" si="16"/>
        <v>27.204136005256242</v>
      </c>
      <c r="BC21" s="2">
        <f t="shared" si="17"/>
        <v>73.757838370564926</v>
      </c>
      <c r="BD21" s="2">
        <f t="shared" si="2"/>
        <v>642.06320357142874</v>
      </c>
      <c r="BE21" s="2">
        <f t="shared" si="18"/>
        <v>547.05198214285724</v>
      </c>
      <c r="BF21" s="2">
        <f t="shared" si="19"/>
        <v>26.77092142857143</v>
      </c>
      <c r="BG21" s="2">
        <f t="shared" si="20"/>
        <v>68.240300000000076</v>
      </c>
      <c r="BH21" s="2">
        <f t="shared" si="21"/>
        <v>423.67514454664905</v>
      </c>
      <c r="BI21" s="2">
        <f t="shared" si="22"/>
        <v>58.768863337713526</v>
      </c>
      <c r="BJ21" s="2">
        <f t="shared" si="23"/>
        <v>15.787697109067016</v>
      </c>
      <c r="BK21" s="2">
        <f t="shared" si="24"/>
        <v>108.2653991458607</v>
      </c>
      <c r="BL21" s="2">
        <f t="shared" si="3"/>
        <v>450.41360357142867</v>
      </c>
      <c r="BM21" s="20">
        <f t="shared" si="25"/>
        <v>60.360675000000008</v>
      </c>
      <c r="BN21" s="20">
        <f t="shared" si="26"/>
        <v>23.902848214285715</v>
      </c>
      <c r="BO21" s="2">
        <f t="shared" si="27"/>
        <v>107.38607678571435</v>
      </c>
      <c r="BP21" s="18">
        <f t="shared" si="28"/>
        <v>0.83353263570961111</v>
      </c>
      <c r="BQ21" s="18">
        <f t="shared" si="29"/>
        <v>0.85202201138442657</v>
      </c>
      <c r="BR21" s="18">
        <f t="shared" si="30"/>
        <v>9.6898835850362866E-2</v>
      </c>
      <c r="BS21" s="18">
        <f t="shared" si="31"/>
        <v>9.4010487852672839E-2</v>
      </c>
      <c r="BT21" s="29">
        <f>BD21/Kool!BJ21</f>
        <v>1.2374352388734184</v>
      </c>
      <c r="BU21" s="27">
        <v>15.9</v>
      </c>
      <c r="BV21" s="27">
        <v>15.36</v>
      </c>
      <c r="BW21" s="27">
        <f t="shared" si="32"/>
        <v>16.911111111111111</v>
      </c>
      <c r="BX21" s="27">
        <f t="shared" si="33"/>
        <v>15.555555555555554</v>
      </c>
      <c r="BY21" s="2">
        <v>2053.9848012798921</v>
      </c>
      <c r="BZ21" s="2">
        <v>2029.9879330422129</v>
      </c>
      <c r="CA21" s="2">
        <f>VLOOKUP(A21,'[1]kaugused autoga'!$A$3:$B$82,2,FALSE)</f>
        <v>1351.1</v>
      </c>
      <c r="CB21" s="29">
        <v>1.06</v>
      </c>
      <c r="CC21">
        <v>11323</v>
      </c>
      <c r="CD21" s="18">
        <v>0.9958540520475202</v>
      </c>
      <c r="CE21" t="s">
        <v>234</v>
      </c>
      <c r="CG21" s="27">
        <f t="shared" si="34"/>
        <v>15.555555555555554</v>
      </c>
      <c r="CH21" s="2">
        <f t="shared" si="35"/>
        <v>2029.9879330422129</v>
      </c>
      <c r="CI21" s="56">
        <f t="shared" si="36"/>
        <v>0.9958540520475202</v>
      </c>
    </row>
    <row r="22" spans="1:87" ht="14.25" customHeight="1" x14ac:dyDescent="0.35">
      <c r="A22" t="s">
        <v>143</v>
      </c>
      <c r="B22" s="10" t="s">
        <v>27</v>
      </c>
      <c r="C22" s="11">
        <v>283417.96000000002</v>
      </c>
      <c r="D22" s="11">
        <v>3635.21</v>
      </c>
      <c r="E22" s="11">
        <v>2186549.21</v>
      </c>
      <c r="F22" s="11">
        <v>783771.02</v>
      </c>
      <c r="G22" s="11"/>
      <c r="H22" s="11">
        <v>9183579.7400000021</v>
      </c>
      <c r="I22" s="11">
        <v>449224.87</v>
      </c>
      <c r="J22" s="11">
        <f>Kool!AY22</f>
        <v>0</v>
      </c>
      <c r="K22" s="12">
        <f t="shared" si="4"/>
        <v>11322635.970000001</v>
      </c>
      <c r="L22" s="11">
        <v>252051.81</v>
      </c>
      <c r="M22" s="11">
        <v>9306.89</v>
      </c>
      <c r="N22" s="11">
        <v>2096667.84</v>
      </c>
      <c r="O22" s="11">
        <v>903794.59000000008</v>
      </c>
      <c r="P22" s="11"/>
      <c r="Q22" s="11">
        <v>8618724.0000000019</v>
      </c>
      <c r="R22" s="11">
        <v>427113.37</v>
      </c>
      <c r="S22" s="11">
        <f>Kool!AZ22</f>
        <v>0</v>
      </c>
      <c r="T22" s="12">
        <f t="shared" si="5"/>
        <v>10500069.32</v>
      </c>
      <c r="U22" s="11">
        <v>3226799.79</v>
      </c>
      <c r="V22" s="11">
        <v>526385.09</v>
      </c>
      <c r="W22" s="11">
        <v>354840.02</v>
      </c>
      <c r="X22" s="11"/>
      <c r="Y22" s="11">
        <v>1038429.5</v>
      </c>
      <c r="Z22" s="11">
        <v>936725</v>
      </c>
      <c r="AA22" s="11">
        <v>2338101.88</v>
      </c>
      <c r="AB22" s="11">
        <v>501697.5</v>
      </c>
      <c r="AC22" s="11">
        <v>313241.40000000002</v>
      </c>
      <c r="AD22" s="11"/>
      <c r="AE22" s="11">
        <v>822109.9600000002</v>
      </c>
      <c r="AF22" s="11">
        <v>929845</v>
      </c>
      <c r="AG22" s="33">
        <v>1232</v>
      </c>
      <c r="AH22" s="33">
        <v>0</v>
      </c>
      <c r="AI22" s="2">
        <f t="shared" si="6"/>
        <v>1232</v>
      </c>
      <c r="AJ22" s="18">
        <f t="shared" si="7"/>
        <v>0</v>
      </c>
      <c r="AK22" s="33">
        <v>1115</v>
      </c>
      <c r="AL22" s="33">
        <v>0</v>
      </c>
      <c r="AM22" s="2">
        <f t="shared" si="8"/>
        <v>1115</v>
      </c>
      <c r="AN22" s="18">
        <f t="shared" si="9"/>
        <v>0</v>
      </c>
      <c r="AO22" s="2">
        <v>962</v>
      </c>
      <c r="AP22" s="2">
        <v>0</v>
      </c>
      <c r="AQ22" s="2">
        <f t="shared" si="10"/>
        <v>962</v>
      </c>
      <c r="AR22" s="18">
        <f t="shared" si="11"/>
        <v>0</v>
      </c>
      <c r="AS22" s="34">
        <f t="shared" si="0"/>
        <v>1193</v>
      </c>
      <c r="AT22" s="34">
        <f t="shared" si="1"/>
        <v>1064</v>
      </c>
      <c r="AU22" s="34">
        <v>88</v>
      </c>
      <c r="AV22" s="34">
        <v>79</v>
      </c>
      <c r="AW22" s="34">
        <v>70</v>
      </c>
      <c r="AX22" s="34">
        <f t="shared" si="12"/>
        <v>85</v>
      </c>
      <c r="AY22" s="34">
        <f t="shared" si="13"/>
        <v>76</v>
      </c>
      <c r="AZ22" s="2">
        <f t="shared" si="14"/>
        <v>790.9077933780386</v>
      </c>
      <c r="BA22" s="2">
        <f t="shared" si="15"/>
        <v>641.4906216820342</v>
      </c>
      <c r="BB22" s="2">
        <f t="shared" si="16"/>
        <v>31.379216960044705</v>
      </c>
      <c r="BC22" s="2">
        <f t="shared" si="17"/>
        <v>118.0379547359597</v>
      </c>
      <c r="BD22" s="2">
        <f t="shared" si="2"/>
        <v>822.37385025062656</v>
      </c>
      <c r="BE22" s="2">
        <f t="shared" si="18"/>
        <v>675.02537593984982</v>
      </c>
      <c r="BF22" s="2">
        <f t="shared" si="19"/>
        <v>33.451861685463662</v>
      </c>
      <c r="BG22" s="2">
        <f t="shared" si="20"/>
        <v>113.89661262531308</v>
      </c>
      <c r="BH22" s="2">
        <f t="shared" si="21"/>
        <v>500.07761804973461</v>
      </c>
      <c r="BI22" s="2">
        <f t="shared" si="22"/>
        <v>61.555260547639001</v>
      </c>
      <c r="BJ22" s="2">
        <f t="shared" si="23"/>
        <v>72.536288069293093</v>
      </c>
      <c r="BK22" s="2">
        <f t="shared" si="24"/>
        <v>156.73862671137192</v>
      </c>
      <c r="BL22" s="2">
        <f t="shared" si="3"/>
        <v>566.42562969924813</v>
      </c>
      <c r="BM22" s="20">
        <f t="shared" si="25"/>
        <v>63.826668233082707</v>
      </c>
      <c r="BN22" s="20">
        <f t="shared" si="26"/>
        <v>64.38831140350878</v>
      </c>
      <c r="BO22" s="2">
        <f t="shared" si="27"/>
        <v>127.73324091478695</v>
      </c>
      <c r="BP22" s="18">
        <f t="shared" si="28"/>
        <v>0.81108142700449293</v>
      </c>
      <c r="BQ22" s="18">
        <f t="shared" si="29"/>
        <v>0.82082543813148867</v>
      </c>
      <c r="BR22" s="18">
        <f t="shared" si="30"/>
        <v>7.782861802983497E-2</v>
      </c>
      <c r="BS22" s="18">
        <f t="shared" si="31"/>
        <v>7.7612716179668043E-2</v>
      </c>
      <c r="BT22" s="29">
        <f>BD22/Kool!BJ22</f>
        <v>1.5445216281150622</v>
      </c>
      <c r="BU22" s="27">
        <v>15.16</v>
      </c>
      <c r="BV22" s="27">
        <v>14.77</v>
      </c>
      <c r="BW22" s="27">
        <f t="shared" si="32"/>
        <v>14.035294117647059</v>
      </c>
      <c r="BX22" s="27">
        <f t="shared" si="33"/>
        <v>14</v>
      </c>
      <c r="BY22" s="2">
        <v>1774.6210131230171</v>
      </c>
      <c r="BZ22" s="2">
        <v>1909.8738474494021</v>
      </c>
      <c r="CA22" s="2">
        <f>VLOOKUP(A22,'[1]kaugused autoga'!$A$3:$B$82,2,FALSE)</f>
        <v>691.6</v>
      </c>
      <c r="CB22" s="29">
        <v>1.06</v>
      </c>
      <c r="CC22">
        <v>31540</v>
      </c>
      <c r="CD22" s="18">
        <v>0.98834619960393177</v>
      </c>
      <c r="CE22" t="s">
        <v>234</v>
      </c>
      <c r="CG22" s="27">
        <f t="shared" si="34"/>
        <v>14</v>
      </c>
      <c r="CH22" s="2">
        <f t="shared" si="35"/>
        <v>1909.8738474494021</v>
      </c>
      <c r="CI22" s="56">
        <f t="shared" si="36"/>
        <v>0.98834619960393177</v>
      </c>
    </row>
    <row r="23" spans="1:87" ht="14.25" customHeight="1" x14ac:dyDescent="0.35">
      <c r="A23" t="s">
        <v>135</v>
      </c>
      <c r="B23" s="10" t="s">
        <v>28</v>
      </c>
      <c r="C23" s="11">
        <v>56132.9</v>
      </c>
      <c r="D23" s="11">
        <v>-114.9</v>
      </c>
      <c r="E23" s="11">
        <v>394894.74</v>
      </c>
      <c r="F23" s="11">
        <v>122419.71</v>
      </c>
      <c r="G23" s="11"/>
      <c r="H23" s="11">
        <v>2040090</v>
      </c>
      <c r="I23" s="11">
        <v>182743.46</v>
      </c>
      <c r="J23" s="11">
        <f>Kool!AY23</f>
        <v>0</v>
      </c>
      <c r="K23" s="12">
        <f t="shared" si="4"/>
        <v>2551326.4899999998</v>
      </c>
      <c r="L23" s="11">
        <v>58997.72</v>
      </c>
      <c r="M23" s="11">
        <v>153.30000000000001</v>
      </c>
      <c r="N23" s="11">
        <v>411577.06999999989</v>
      </c>
      <c r="O23" s="11">
        <v>135233.54</v>
      </c>
      <c r="P23" s="11"/>
      <c r="Q23" s="11">
        <v>2235388.44</v>
      </c>
      <c r="R23" s="11">
        <v>176104.81</v>
      </c>
      <c r="S23" s="11">
        <f>Kool!AZ23</f>
        <v>0</v>
      </c>
      <c r="T23" s="12">
        <f t="shared" si="5"/>
        <v>2746987.8</v>
      </c>
      <c r="U23" s="11">
        <v>387194.11</v>
      </c>
      <c r="V23" s="11">
        <v>59619.360000000001</v>
      </c>
      <c r="W23" s="11">
        <v>1872.8</v>
      </c>
      <c r="X23" s="11"/>
      <c r="Y23" s="11">
        <v>43056</v>
      </c>
      <c r="Z23" s="11">
        <v>124080</v>
      </c>
      <c r="AA23" s="11">
        <v>400167.73</v>
      </c>
      <c r="AB23" s="11">
        <v>57700</v>
      </c>
      <c r="AC23" s="11">
        <v>1545.6</v>
      </c>
      <c r="AD23" s="11"/>
      <c r="AE23" s="11">
        <v>53783</v>
      </c>
      <c r="AF23" s="11">
        <v>125452</v>
      </c>
      <c r="AG23" s="33">
        <v>196</v>
      </c>
      <c r="AH23" s="33">
        <v>55</v>
      </c>
      <c r="AI23" s="2">
        <f t="shared" si="6"/>
        <v>251</v>
      </c>
      <c r="AJ23" s="18">
        <f t="shared" si="7"/>
        <v>0.21912350597609562</v>
      </c>
      <c r="AK23" s="33">
        <v>203</v>
      </c>
      <c r="AL23" s="33">
        <v>62</v>
      </c>
      <c r="AM23" s="2">
        <f t="shared" si="8"/>
        <v>265</v>
      </c>
      <c r="AN23" s="18">
        <f t="shared" si="9"/>
        <v>0.2339622641509434</v>
      </c>
      <c r="AO23" s="2">
        <v>187</v>
      </c>
      <c r="AP23" s="2">
        <v>59</v>
      </c>
      <c r="AQ23" s="2">
        <f t="shared" si="10"/>
        <v>246</v>
      </c>
      <c r="AR23" s="18">
        <f t="shared" si="11"/>
        <v>0.23983739837398374</v>
      </c>
      <c r="AS23" s="34">
        <f t="shared" si="0"/>
        <v>255.66666666666669</v>
      </c>
      <c r="AT23" s="34">
        <f t="shared" si="1"/>
        <v>258.66666666666663</v>
      </c>
      <c r="AU23" s="34">
        <v>19</v>
      </c>
      <c r="AV23" s="34">
        <v>18</v>
      </c>
      <c r="AW23" s="34">
        <v>20</v>
      </c>
      <c r="AX23" s="34">
        <f t="shared" si="12"/>
        <v>18.666666666666664</v>
      </c>
      <c r="AY23" s="34">
        <f t="shared" si="13"/>
        <v>18.666666666666668</v>
      </c>
      <c r="AZ23" s="2">
        <f t="shared" si="14"/>
        <v>831.59272816166867</v>
      </c>
      <c r="BA23" s="2">
        <f t="shared" si="15"/>
        <v>664.95762711864404</v>
      </c>
      <c r="BB23" s="2">
        <f t="shared" si="16"/>
        <v>59.56436114732724</v>
      </c>
      <c r="BC23" s="2">
        <f t="shared" si="17"/>
        <v>107.07073989569739</v>
      </c>
      <c r="BD23" s="2">
        <f t="shared" si="2"/>
        <v>884.98318298969082</v>
      </c>
      <c r="BE23" s="2">
        <f t="shared" si="18"/>
        <v>720.16380154639182</v>
      </c>
      <c r="BF23" s="2">
        <f t="shared" si="19"/>
        <v>56.734797036082483</v>
      </c>
      <c r="BG23" s="2">
        <f t="shared" si="20"/>
        <v>108.08458440721651</v>
      </c>
      <c r="BH23" s="2">
        <f t="shared" si="21"/>
        <v>664.94536505867006</v>
      </c>
      <c r="BI23" s="2">
        <f t="shared" si="22"/>
        <v>20.043076923076921</v>
      </c>
      <c r="BJ23" s="2">
        <f t="shared" si="23"/>
        <v>14.033898305084746</v>
      </c>
      <c r="BK23" s="2">
        <f t="shared" si="24"/>
        <v>132.57038787483697</v>
      </c>
      <c r="BL23" s="2">
        <f t="shared" si="3"/>
        <v>715.64692976804133</v>
      </c>
      <c r="BM23" s="20">
        <f t="shared" si="25"/>
        <v>19.086855670103095</v>
      </c>
      <c r="BN23" s="20">
        <f t="shared" si="26"/>
        <v>17.326997422680414</v>
      </c>
      <c r="BO23" s="2">
        <f t="shared" si="27"/>
        <v>132.92240012886597</v>
      </c>
      <c r="BP23" s="18">
        <f t="shared" si="28"/>
        <v>0.79961933840933086</v>
      </c>
      <c r="BQ23" s="18">
        <f t="shared" si="29"/>
        <v>0.81375987181304554</v>
      </c>
      <c r="BR23" s="18">
        <f t="shared" si="30"/>
        <v>2.4102034859521254E-2</v>
      </c>
      <c r="BS23" s="18">
        <f t="shared" si="31"/>
        <v>2.1567478384869419E-2</v>
      </c>
      <c r="BT23" s="29">
        <f>BD23/Kool!BJ23</f>
        <v>0.65562761163867489</v>
      </c>
      <c r="BU23" s="27">
        <v>14.61</v>
      </c>
      <c r="BV23" s="27">
        <v>13.17</v>
      </c>
      <c r="BW23" s="27">
        <f t="shared" si="32"/>
        <v>13.696428571428575</v>
      </c>
      <c r="BX23" s="27">
        <f t="shared" si="33"/>
        <v>13.857142857142854</v>
      </c>
      <c r="BY23" s="2">
        <v>1968.965909090909</v>
      </c>
      <c r="BZ23" s="2">
        <v>2058.6803752759379</v>
      </c>
      <c r="CA23" s="2">
        <f>VLOOKUP(A23,'[1]kaugused autoga'!$A$3:$B$82,2,FALSE)</f>
        <v>2134.1</v>
      </c>
      <c r="CB23" s="29">
        <v>1.36</v>
      </c>
      <c r="CC23">
        <v>7998</v>
      </c>
      <c r="CD23" s="18">
        <v>1.0354451928100492</v>
      </c>
      <c r="CE23" t="s">
        <v>233</v>
      </c>
      <c r="CG23" s="27">
        <f t="shared" si="34"/>
        <v>13.857142857142854</v>
      </c>
      <c r="CH23" s="2">
        <f t="shared" si="35"/>
        <v>2058.6803752759379</v>
      </c>
      <c r="CI23" s="56">
        <f t="shared" si="36"/>
        <v>1.0354451928100492</v>
      </c>
    </row>
    <row r="24" spans="1:87" ht="14.25" customHeight="1" x14ac:dyDescent="0.35">
      <c r="A24" t="s">
        <v>129</v>
      </c>
      <c r="B24" s="10" t="s">
        <v>29</v>
      </c>
      <c r="C24" s="11">
        <v>431081.76</v>
      </c>
      <c r="D24" s="11">
        <v>4991.41</v>
      </c>
      <c r="E24" s="11">
        <v>2300912.98</v>
      </c>
      <c r="F24" s="11">
        <v>220560.56</v>
      </c>
      <c r="G24" s="11"/>
      <c r="H24" s="11">
        <v>12293003.189999999</v>
      </c>
      <c r="I24" s="11">
        <v>806235.71000000008</v>
      </c>
      <c r="J24" s="11">
        <f>Kool!AY24</f>
        <v>0</v>
      </c>
      <c r="K24" s="12">
        <f t="shared" si="4"/>
        <v>15615664.49</v>
      </c>
      <c r="L24" s="11">
        <v>403729.7</v>
      </c>
      <c r="M24" s="11">
        <v>10324.99</v>
      </c>
      <c r="N24" s="11">
        <v>1982803.610000001</v>
      </c>
      <c r="O24" s="11">
        <v>172582.19</v>
      </c>
      <c r="P24" s="11"/>
      <c r="Q24" s="11">
        <v>11609567.67</v>
      </c>
      <c r="R24" s="11">
        <v>900597.62000000011</v>
      </c>
      <c r="S24" s="11">
        <f>Kool!AZ24</f>
        <v>0</v>
      </c>
      <c r="T24" s="12">
        <f t="shared" si="5"/>
        <v>14734441.400000002</v>
      </c>
      <c r="U24" s="11">
        <v>3786063.17</v>
      </c>
      <c r="V24" s="11">
        <v>555615.51</v>
      </c>
      <c r="W24" s="11">
        <v>707086.05</v>
      </c>
      <c r="X24" s="11">
        <v>238220.52</v>
      </c>
      <c r="Y24" s="11">
        <v>581400.46000000008</v>
      </c>
      <c r="Z24" s="11">
        <v>1094027</v>
      </c>
      <c r="AA24" s="11">
        <v>3164133.370000001</v>
      </c>
      <c r="AB24" s="11">
        <v>599772.1</v>
      </c>
      <c r="AC24" s="11">
        <v>673114.4</v>
      </c>
      <c r="AD24" s="11">
        <v>257036.99</v>
      </c>
      <c r="AE24" s="11">
        <v>530457.35</v>
      </c>
      <c r="AF24" s="11">
        <v>1081621</v>
      </c>
      <c r="AG24" s="33">
        <v>2050</v>
      </c>
      <c r="AH24" s="33">
        <v>0</v>
      </c>
      <c r="AI24" s="2">
        <f t="shared" si="6"/>
        <v>2050</v>
      </c>
      <c r="AJ24" s="18">
        <f t="shared" si="7"/>
        <v>0</v>
      </c>
      <c r="AK24" s="33">
        <v>1879</v>
      </c>
      <c r="AL24" s="33">
        <v>0</v>
      </c>
      <c r="AM24" s="2">
        <f t="shared" si="8"/>
        <v>1879</v>
      </c>
      <c r="AN24" s="18">
        <f t="shared" si="9"/>
        <v>0</v>
      </c>
      <c r="AO24" s="2">
        <v>1781</v>
      </c>
      <c r="AP24" s="2">
        <v>0</v>
      </c>
      <c r="AQ24" s="2">
        <f t="shared" si="10"/>
        <v>1781</v>
      </c>
      <c r="AR24" s="18">
        <f t="shared" si="11"/>
        <v>0</v>
      </c>
      <c r="AS24" s="34">
        <f t="shared" si="0"/>
        <v>1993</v>
      </c>
      <c r="AT24" s="34">
        <f t="shared" si="1"/>
        <v>1846.3333333333335</v>
      </c>
      <c r="AU24" s="34">
        <v>121</v>
      </c>
      <c r="AV24" s="34">
        <v>111</v>
      </c>
      <c r="AW24" s="34">
        <v>105</v>
      </c>
      <c r="AX24" s="34">
        <f t="shared" si="12"/>
        <v>117.66666666666667</v>
      </c>
      <c r="AY24" s="34">
        <f t="shared" si="13"/>
        <v>109</v>
      </c>
      <c r="AZ24" s="2">
        <f t="shared" si="14"/>
        <v>652.93796997825723</v>
      </c>
      <c r="BA24" s="2">
        <f t="shared" si="15"/>
        <v>514.00749247365775</v>
      </c>
      <c r="BB24" s="2">
        <f t="shared" si="16"/>
        <v>33.711143585883931</v>
      </c>
      <c r="BC24" s="2">
        <f t="shared" si="17"/>
        <v>105.21933391871555</v>
      </c>
      <c r="BD24" s="2">
        <f t="shared" si="2"/>
        <v>665.03165733886988</v>
      </c>
      <c r="BE24" s="2">
        <f t="shared" si="18"/>
        <v>523.99204143347163</v>
      </c>
      <c r="BF24" s="2">
        <f t="shared" si="19"/>
        <v>40.648024011554433</v>
      </c>
      <c r="BG24" s="2">
        <f t="shared" si="20"/>
        <v>100.39159189384381</v>
      </c>
      <c r="BH24" s="2">
        <f t="shared" si="21"/>
        <v>448.88670011707649</v>
      </c>
      <c r="BI24" s="2">
        <f t="shared" si="22"/>
        <v>62.758073256397388</v>
      </c>
      <c r="BJ24" s="2">
        <f t="shared" si="23"/>
        <v>24.310104532530527</v>
      </c>
      <c r="BK24" s="2">
        <f t="shared" si="24"/>
        <v>116.98309207225283</v>
      </c>
      <c r="BL24" s="2">
        <f t="shared" si="3"/>
        <v>473.40165327676476</v>
      </c>
      <c r="BM24" s="20">
        <f t="shared" si="25"/>
        <v>69.052333002346984</v>
      </c>
      <c r="BN24" s="20">
        <f t="shared" si="26"/>
        <v>23.941927694529696</v>
      </c>
      <c r="BO24" s="2">
        <f t="shared" si="27"/>
        <v>98.635743365228436</v>
      </c>
      <c r="BP24" s="18">
        <f t="shared" si="28"/>
        <v>0.78722254809407721</v>
      </c>
      <c r="BQ24" s="18">
        <f t="shared" si="29"/>
        <v>0.7879204480734503</v>
      </c>
      <c r="BR24" s="18">
        <f t="shared" si="30"/>
        <v>9.6116440063191949E-2</v>
      </c>
      <c r="BS24" s="18">
        <f t="shared" si="31"/>
        <v>0.10383315176101618</v>
      </c>
      <c r="BT24" s="29">
        <f>BD24/Kool!BJ24</f>
        <v>1.426413853232011</v>
      </c>
      <c r="BU24" s="27">
        <v>18.079999999999998</v>
      </c>
      <c r="BV24" s="27">
        <v>17.91</v>
      </c>
      <c r="BW24" s="27">
        <f t="shared" si="32"/>
        <v>16.937677053824363</v>
      </c>
      <c r="BX24" s="27">
        <f t="shared" si="33"/>
        <v>16.938837920489298</v>
      </c>
      <c r="BY24" s="2">
        <v>1852.391169411927</v>
      </c>
      <c r="BZ24" s="2">
        <v>2026.9800550029561</v>
      </c>
      <c r="CA24" s="2">
        <f>VLOOKUP(A24,'[1]kaugused autoga'!$A$3:$B$82,2,FALSE)</f>
        <v>644.1</v>
      </c>
      <c r="CB24" s="29">
        <v>1.01</v>
      </c>
      <c r="CC24">
        <v>52058</v>
      </c>
      <c r="CD24" s="18">
        <v>0.97276065227403352</v>
      </c>
      <c r="CE24" t="s">
        <v>234</v>
      </c>
      <c r="CG24" s="27">
        <f t="shared" si="34"/>
        <v>16.938837920489298</v>
      </c>
      <c r="CH24" s="2">
        <f t="shared" si="35"/>
        <v>2026.9800550029561</v>
      </c>
      <c r="CI24" s="56">
        <f t="shared" si="36"/>
        <v>0.97276065227403352</v>
      </c>
    </row>
    <row r="25" spans="1:87" ht="14.25" customHeight="1" x14ac:dyDescent="0.35">
      <c r="A25" t="s">
        <v>128</v>
      </c>
      <c r="B25" s="10" t="s">
        <v>30</v>
      </c>
      <c r="C25" s="11">
        <v>43187.03</v>
      </c>
      <c r="D25" s="11">
        <v>4.25</v>
      </c>
      <c r="E25" s="11">
        <v>655693.36999999988</v>
      </c>
      <c r="F25" s="11">
        <v>417630.97</v>
      </c>
      <c r="G25" s="11">
        <v>13864.56</v>
      </c>
      <c r="H25" s="11">
        <v>825846.77999999991</v>
      </c>
      <c r="I25" s="11">
        <v>28117.35</v>
      </c>
      <c r="J25" s="11">
        <f>Kool!AY25</f>
        <v>0</v>
      </c>
      <c r="K25" s="12">
        <f t="shared" si="4"/>
        <v>1135217.81</v>
      </c>
      <c r="L25" s="11">
        <v>29209.59</v>
      </c>
      <c r="M25" s="11">
        <v>-4.2</v>
      </c>
      <c r="N25" s="11">
        <v>580400.23</v>
      </c>
      <c r="O25" s="11">
        <v>405249.05</v>
      </c>
      <c r="P25" s="11">
        <v>13489.56</v>
      </c>
      <c r="Q25" s="11">
        <v>734806.7699999999</v>
      </c>
      <c r="R25" s="11">
        <v>194669.64</v>
      </c>
      <c r="S25" s="11">
        <f>Kool!AZ25</f>
        <v>0</v>
      </c>
      <c r="T25" s="12">
        <f t="shared" si="5"/>
        <v>1133832.98</v>
      </c>
      <c r="U25" s="11">
        <v>454525.46</v>
      </c>
      <c r="V25" s="11">
        <v>48427.199999999997</v>
      </c>
      <c r="W25" s="11">
        <v>33702.74</v>
      </c>
      <c r="X25" s="11"/>
      <c r="Y25" s="11">
        <v>293181.07</v>
      </c>
      <c r="Z25" s="11">
        <v>53870</v>
      </c>
      <c r="AA25" s="11">
        <v>443872.36</v>
      </c>
      <c r="AB25" s="11">
        <v>51610.61</v>
      </c>
      <c r="AC25" s="11">
        <v>36778.370000000003</v>
      </c>
      <c r="AD25" s="11"/>
      <c r="AE25" s="11">
        <v>274466.11</v>
      </c>
      <c r="AF25" s="11">
        <v>52766</v>
      </c>
      <c r="AG25" s="33">
        <v>106</v>
      </c>
      <c r="AH25" s="33">
        <v>0</v>
      </c>
      <c r="AI25" s="2">
        <f t="shared" si="6"/>
        <v>106</v>
      </c>
      <c r="AJ25" s="18">
        <f t="shared" si="7"/>
        <v>0</v>
      </c>
      <c r="AK25" s="33">
        <v>98</v>
      </c>
      <c r="AL25" s="33">
        <v>0</v>
      </c>
      <c r="AM25" s="2">
        <f t="shared" si="8"/>
        <v>98</v>
      </c>
      <c r="AN25" s="18">
        <f t="shared" si="9"/>
        <v>0</v>
      </c>
      <c r="AO25" s="2">
        <v>110</v>
      </c>
      <c r="AP25" s="2">
        <v>0</v>
      </c>
      <c r="AQ25" s="2">
        <f t="shared" si="10"/>
        <v>110</v>
      </c>
      <c r="AR25" s="18">
        <f t="shared" si="11"/>
        <v>0</v>
      </c>
      <c r="AS25" s="34">
        <f t="shared" si="0"/>
        <v>103.33333333333334</v>
      </c>
      <c r="AT25" s="34">
        <f t="shared" si="1"/>
        <v>102</v>
      </c>
      <c r="AU25" s="34">
        <v>8</v>
      </c>
      <c r="AV25" s="34">
        <v>7</v>
      </c>
      <c r="AW25" s="34">
        <v>7</v>
      </c>
      <c r="AX25" s="34">
        <f t="shared" si="12"/>
        <v>7.6666666666666661</v>
      </c>
      <c r="AY25" s="34">
        <f t="shared" si="13"/>
        <v>7</v>
      </c>
      <c r="AZ25" s="2">
        <f t="shared" si="14"/>
        <v>915.49823387096774</v>
      </c>
      <c r="BA25" s="2">
        <f t="shared" si="15"/>
        <v>666.00546774193538</v>
      </c>
      <c r="BB25" s="2">
        <f t="shared" si="16"/>
        <v>33.856379032258054</v>
      </c>
      <c r="BC25" s="2">
        <f t="shared" si="17"/>
        <v>215.63638709677431</v>
      </c>
      <c r="BD25" s="2">
        <f t="shared" si="2"/>
        <v>926.33413398692812</v>
      </c>
      <c r="BE25" s="2">
        <f t="shared" si="18"/>
        <v>600.3323284313725</v>
      </c>
      <c r="BF25" s="2">
        <f t="shared" si="19"/>
        <v>170.06470588235297</v>
      </c>
      <c r="BG25" s="2">
        <f t="shared" si="20"/>
        <v>155.93709967320265</v>
      </c>
      <c r="BH25" s="2">
        <f t="shared" si="21"/>
        <v>505.50189516129035</v>
      </c>
      <c r="BI25" s="2">
        <f t="shared" si="22"/>
        <v>66.233822580645153</v>
      </c>
      <c r="BJ25" s="2">
        <f t="shared" si="23"/>
        <v>236.43634677419354</v>
      </c>
      <c r="BK25" s="2">
        <f t="shared" si="24"/>
        <v>107.3261693548387</v>
      </c>
      <c r="BL25" s="2">
        <f t="shared" si="3"/>
        <v>520.58383986928106</v>
      </c>
      <c r="BM25" s="20">
        <f t="shared" si="25"/>
        <v>72.213218954248376</v>
      </c>
      <c r="BN25" s="20">
        <f t="shared" si="26"/>
        <v>224.23701797385618</v>
      </c>
      <c r="BO25" s="2">
        <f t="shared" si="27"/>
        <v>109.30005718954251</v>
      </c>
      <c r="BP25" s="18">
        <f t="shared" si="28"/>
        <v>0.72747870296361883</v>
      </c>
      <c r="BQ25" s="18">
        <f t="shared" si="29"/>
        <v>0.64807320210424635</v>
      </c>
      <c r="BR25" s="18">
        <f t="shared" si="30"/>
        <v>7.2347296947358489E-2</v>
      </c>
      <c r="BS25" s="18">
        <f t="shared" si="31"/>
        <v>7.7955908461932386E-2</v>
      </c>
      <c r="BT25" s="29">
        <f>BD25/Kool!BJ25</f>
        <v>1.1470290717687803</v>
      </c>
      <c r="BU25" s="27">
        <v>14</v>
      </c>
      <c r="BV25" s="27">
        <v>15.71</v>
      </c>
      <c r="BW25" s="27">
        <f t="shared" si="32"/>
        <v>13.47826086956522</v>
      </c>
      <c r="BX25" s="27">
        <f t="shared" si="33"/>
        <v>14.571428571428571</v>
      </c>
      <c r="BY25" s="2">
        <v>2098.7073318766688</v>
      </c>
      <c r="BZ25" s="2">
        <v>2269.746802106848</v>
      </c>
      <c r="CA25" s="2">
        <f>VLOOKUP(A25,'[1]kaugused autoga'!$A$3:$B$82,2,FALSE)</f>
        <v>1938.3</v>
      </c>
      <c r="CB25" s="29">
        <v>1.78</v>
      </c>
      <c r="CC25">
        <v>4783</v>
      </c>
      <c r="CD25" s="18">
        <v>1.1956775054129765</v>
      </c>
      <c r="CE25" t="s">
        <v>232</v>
      </c>
      <c r="CG25" s="27">
        <f t="shared" si="34"/>
        <v>14.571428571428571</v>
      </c>
      <c r="CH25" s="2">
        <f t="shared" si="35"/>
        <v>2269.746802106848</v>
      </c>
      <c r="CI25" s="56">
        <f t="shared" si="36"/>
        <v>1.1956775054129765</v>
      </c>
    </row>
    <row r="26" spans="1:87" ht="14.25" customHeight="1" x14ac:dyDescent="0.35">
      <c r="A26" t="s">
        <v>106</v>
      </c>
      <c r="B26" s="10" t="s">
        <v>31</v>
      </c>
      <c r="C26" s="11">
        <v>68534.490000000005</v>
      </c>
      <c r="D26" s="13"/>
      <c r="E26" s="11">
        <v>605204.77000000014</v>
      </c>
      <c r="F26" s="11">
        <v>156256.63</v>
      </c>
      <c r="G26" s="11"/>
      <c r="H26" s="11">
        <v>2595024.39</v>
      </c>
      <c r="I26" s="11">
        <v>205224.35</v>
      </c>
      <c r="J26" s="11">
        <f>Kool!AY26</f>
        <v>0</v>
      </c>
      <c r="K26" s="12">
        <f t="shared" si="4"/>
        <v>3317731.3700000006</v>
      </c>
      <c r="L26" s="11">
        <v>80803.41</v>
      </c>
      <c r="M26" s="13"/>
      <c r="N26" s="11">
        <v>480496.44000000012</v>
      </c>
      <c r="O26" s="11">
        <v>116996.48</v>
      </c>
      <c r="P26" s="11"/>
      <c r="Q26" s="11">
        <v>2452047.62</v>
      </c>
      <c r="R26" s="11">
        <v>209530.35</v>
      </c>
      <c r="S26" s="11">
        <f>Kool!AZ26</f>
        <v>0</v>
      </c>
      <c r="T26" s="12">
        <f t="shared" si="5"/>
        <v>3105881.3400000003</v>
      </c>
      <c r="U26" s="11">
        <v>879582.52000000014</v>
      </c>
      <c r="V26" s="11">
        <v>183196.72</v>
      </c>
      <c r="W26" s="11">
        <v>133738.28</v>
      </c>
      <c r="X26" s="11"/>
      <c r="Y26" s="11">
        <v>281533</v>
      </c>
      <c r="Z26" s="11">
        <v>229764</v>
      </c>
      <c r="AA26" s="11">
        <v>838424.9</v>
      </c>
      <c r="AB26" s="11">
        <v>180595.88</v>
      </c>
      <c r="AC26" s="11">
        <v>116018.8</v>
      </c>
      <c r="AD26" s="11"/>
      <c r="AE26" s="11">
        <v>276811</v>
      </c>
      <c r="AF26" s="11">
        <v>227617</v>
      </c>
      <c r="AG26" s="33">
        <v>414</v>
      </c>
      <c r="AH26" s="33">
        <v>0</v>
      </c>
      <c r="AI26" s="2">
        <f t="shared" si="6"/>
        <v>414</v>
      </c>
      <c r="AJ26" s="18">
        <f t="shared" si="7"/>
        <v>0</v>
      </c>
      <c r="AK26" s="33">
        <v>381</v>
      </c>
      <c r="AL26" s="33">
        <v>0</v>
      </c>
      <c r="AM26" s="2">
        <f t="shared" si="8"/>
        <v>381</v>
      </c>
      <c r="AN26" s="18">
        <f t="shared" si="9"/>
        <v>0</v>
      </c>
      <c r="AO26" s="2">
        <v>341</v>
      </c>
      <c r="AP26" s="2">
        <v>0</v>
      </c>
      <c r="AQ26" s="2">
        <f t="shared" si="10"/>
        <v>341</v>
      </c>
      <c r="AR26" s="18">
        <f t="shared" si="11"/>
        <v>0</v>
      </c>
      <c r="AS26" s="34">
        <f t="shared" si="0"/>
        <v>403</v>
      </c>
      <c r="AT26" s="34">
        <f t="shared" si="1"/>
        <v>367.66666666666669</v>
      </c>
      <c r="AU26" s="34">
        <v>28</v>
      </c>
      <c r="AV26" s="34">
        <v>23</v>
      </c>
      <c r="AW26" s="34">
        <v>24</v>
      </c>
      <c r="AX26" s="34">
        <f t="shared" si="12"/>
        <v>26.333333333333336</v>
      </c>
      <c r="AY26" s="34">
        <f t="shared" si="13"/>
        <v>23.333333333333336</v>
      </c>
      <c r="AZ26" s="2">
        <f t="shared" si="14"/>
        <v>686.04867038875125</v>
      </c>
      <c r="BA26" s="2">
        <f t="shared" si="15"/>
        <v>536.60553970223327</v>
      </c>
      <c r="BB26" s="2">
        <f t="shared" si="16"/>
        <v>42.436796939619519</v>
      </c>
      <c r="BC26" s="2">
        <f t="shared" si="17"/>
        <v>107.00633374689846</v>
      </c>
      <c r="BD26" s="2">
        <f t="shared" si="2"/>
        <v>703.96222574796013</v>
      </c>
      <c r="BE26" s="2">
        <f t="shared" si="18"/>
        <v>555.76781958295555</v>
      </c>
      <c r="BF26" s="2">
        <f t="shared" si="19"/>
        <v>47.491013145965546</v>
      </c>
      <c r="BG26" s="2">
        <f t="shared" si="20"/>
        <v>100.70339301903903</v>
      </c>
      <c r="BH26" s="2">
        <f t="shared" si="21"/>
        <v>456.65526261373049</v>
      </c>
      <c r="BI26" s="2">
        <f t="shared" si="22"/>
        <v>65.536600496277913</v>
      </c>
      <c r="BJ26" s="2">
        <f t="shared" si="23"/>
        <v>58.216087675765095</v>
      </c>
      <c r="BK26" s="2">
        <f t="shared" si="24"/>
        <v>105.64071960297775</v>
      </c>
      <c r="BL26" s="2">
        <f t="shared" si="3"/>
        <v>462.33894832275615</v>
      </c>
      <c r="BM26" s="20">
        <f t="shared" si="25"/>
        <v>67.229075249320033</v>
      </c>
      <c r="BN26" s="20">
        <f t="shared" si="26"/>
        <v>62.740480507706252</v>
      </c>
      <c r="BO26" s="2">
        <f t="shared" si="27"/>
        <v>111.6537216681777</v>
      </c>
      <c r="BP26" s="18">
        <f t="shared" si="28"/>
        <v>0.78216832546029769</v>
      </c>
      <c r="BQ26" s="18">
        <f t="shared" si="29"/>
        <v>0.78948528664652717</v>
      </c>
      <c r="BR26" s="18">
        <f t="shared" si="30"/>
        <v>9.5527625553361153E-2</v>
      </c>
      <c r="BS26" s="18">
        <f t="shared" si="31"/>
        <v>9.5500969782702644E-2</v>
      </c>
      <c r="BT26" s="29">
        <f>BD26/Kool!BJ26</f>
        <v>1.1860965671841863</v>
      </c>
      <c r="BU26" s="27">
        <v>16.68</v>
      </c>
      <c r="BV26" s="27">
        <v>14.67</v>
      </c>
      <c r="BW26" s="27">
        <f t="shared" si="32"/>
        <v>15.303797468354428</v>
      </c>
      <c r="BX26" s="27">
        <f t="shared" si="33"/>
        <v>15.757142857142856</v>
      </c>
      <c r="BY26" s="2">
        <v>1851.0615974899829</v>
      </c>
      <c r="BZ26" s="2">
        <v>1993.290347195727</v>
      </c>
      <c r="CA26" s="2">
        <f>VLOOKUP(A26,'[1]kaugused autoga'!$A$3:$B$82,2,FALSE)</f>
        <v>721.9</v>
      </c>
      <c r="CB26" s="29">
        <v>1</v>
      </c>
      <c r="CC26">
        <v>11824</v>
      </c>
      <c r="CD26" s="18">
        <v>0.98339148752540462</v>
      </c>
      <c r="CE26" t="s">
        <v>234</v>
      </c>
      <c r="CG26" s="27">
        <f t="shared" si="34"/>
        <v>15.757142857142856</v>
      </c>
      <c r="CH26" s="2">
        <f t="shared" si="35"/>
        <v>1993.290347195727</v>
      </c>
      <c r="CI26" s="56">
        <f t="shared" si="36"/>
        <v>0.98339148752540462</v>
      </c>
    </row>
    <row r="27" spans="1:87" ht="14.25" customHeight="1" x14ac:dyDescent="0.35">
      <c r="A27" t="s">
        <v>102</v>
      </c>
      <c r="B27" s="10" t="s">
        <v>32</v>
      </c>
      <c r="C27" s="11">
        <v>34341.94</v>
      </c>
      <c r="D27" s="13"/>
      <c r="E27" s="11">
        <v>581033.91000000015</v>
      </c>
      <c r="F27" s="11">
        <v>404117.83</v>
      </c>
      <c r="G27" s="11"/>
      <c r="H27" s="11">
        <v>1129927.5900000001</v>
      </c>
      <c r="I27" s="11">
        <v>16930.84</v>
      </c>
      <c r="J27" s="11">
        <f>Kool!AY27</f>
        <v>0</v>
      </c>
      <c r="K27" s="12">
        <f t="shared" si="4"/>
        <v>1358116.4500000002</v>
      </c>
      <c r="L27" s="11">
        <v>41227.03</v>
      </c>
      <c r="M27" s="11">
        <v>540.5</v>
      </c>
      <c r="N27" s="11">
        <v>552939.76000000013</v>
      </c>
      <c r="O27" s="11">
        <v>360049.62</v>
      </c>
      <c r="P27" s="11"/>
      <c r="Q27" s="11">
        <v>1183286.04</v>
      </c>
      <c r="R27" s="11">
        <v>16659</v>
      </c>
      <c r="S27" s="11">
        <f>Kool!AZ27</f>
        <v>0</v>
      </c>
      <c r="T27" s="12">
        <f t="shared" si="5"/>
        <v>1434602.7100000002</v>
      </c>
      <c r="U27" s="11">
        <v>499954.78</v>
      </c>
      <c r="V27" s="11">
        <v>67412.05</v>
      </c>
      <c r="W27" s="11">
        <v>66251.73</v>
      </c>
      <c r="X27" s="11"/>
      <c r="Y27" s="11">
        <v>239254</v>
      </c>
      <c r="Z27" s="11">
        <v>79255</v>
      </c>
      <c r="AA27" s="11">
        <v>508790.37999999989</v>
      </c>
      <c r="AB27" s="11">
        <v>59684.9</v>
      </c>
      <c r="AC27" s="11">
        <v>59453.15</v>
      </c>
      <c r="AD27" s="11"/>
      <c r="AE27" s="11">
        <v>269194</v>
      </c>
      <c r="AF27" s="11">
        <v>77092</v>
      </c>
      <c r="AG27" s="33">
        <v>99</v>
      </c>
      <c r="AH27" s="33">
        <v>52</v>
      </c>
      <c r="AI27" s="2">
        <f t="shared" si="6"/>
        <v>151</v>
      </c>
      <c r="AJ27" s="18">
        <f t="shared" si="7"/>
        <v>0.3443708609271523</v>
      </c>
      <c r="AK27" s="33">
        <v>87</v>
      </c>
      <c r="AL27" s="33">
        <v>49</v>
      </c>
      <c r="AM27" s="2">
        <f t="shared" si="8"/>
        <v>136</v>
      </c>
      <c r="AN27" s="18">
        <f t="shared" si="9"/>
        <v>0.36029411764705882</v>
      </c>
      <c r="AO27" s="2">
        <v>82</v>
      </c>
      <c r="AP27" s="2">
        <v>47</v>
      </c>
      <c r="AQ27" s="2">
        <f t="shared" si="10"/>
        <v>129</v>
      </c>
      <c r="AR27" s="18">
        <f t="shared" si="11"/>
        <v>0.36434108527131781</v>
      </c>
      <c r="AS27" s="34">
        <f t="shared" si="0"/>
        <v>146</v>
      </c>
      <c r="AT27" s="34">
        <f t="shared" si="1"/>
        <v>133.66666666666669</v>
      </c>
      <c r="AU27" s="34">
        <v>10</v>
      </c>
      <c r="AV27" s="34">
        <v>10</v>
      </c>
      <c r="AW27" s="34">
        <v>10</v>
      </c>
      <c r="AX27" s="34">
        <f t="shared" si="12"/>
        <v>10</v>
      </c>
      <c r="AY27" s="34">
        <f t="shared" si="13"/>
        <v>10</v>
      </c>
      <c r="AZ27" s="2">
        <f t="shared" si="14"/>
        <v>775.18062214611882</v>
      </c>
      <c r="BA27" s="2">
        <f t="shared" si="15"/>
        <v>644.93583904109596</v>
      </c>
      <c r="BB27" s="2">
        <f t="shared" si="16"/>
        <v>9.6637214611872135</v>
      </c>
      <c r="BC27" s="2">
        <f t="shared" si="17"/>
        <v>120.58106164383565</v>
      </c>
      <c r="BD27" s="2">
        <f t="shared" si="2"/>
        <v>894.39071695760595</v>
      </c>
      <c r="BE27" s="2">
        <f t="shared" si="18"/>
        <v>737.70950124688272</v>
      </c>
      <c r="BF27" s="2">
        <f t="shared" si="19"/>
        <v>10.3859102244389</v>
      </c>
      <c r="BG27" s="2">
        <f t="shared" si="20"/>
        <v>146.29530548628432</v>
      </c>
      <c r="BH27" s="2">
        <f t="shared" si="21"/>
        <v>444.58143264840191</v>
      </c>
      <c r="BI27" s="2">
        <f t="shared" si="22"/>
        <v>76.292111872146123</v>
      </c>
      <c r="BJ27" s="2">
        <f t="shared" si="23"/>
        <v>136.56050228310502</v>
      </c>
      <c r="BK27" s="2">
        <f t="shared" si="24"/>
        <v>117.74657534246577</v>
      </c>
      <c r="BL27" s="2">
        <f t="shared" si="3"/>
        <v>529.1273877805487</v>
      </c>
      <c r="BM27" s="20">
        <f t="shared" si="25"/>
        <v>74.27559226932668</v>
      </c>
      <c r="BN27" s="20">
        <f t="shared" si="26"/>
        <v>167.82668329177054</v>
      </c>
      <c r="BO27" s="2">
        <f t="shared" si="27"/>
        <v>123.16105361596001</v>
      </c>
      <c r="BP27" s="18">
        <f t="shared" si="28"/>
        <v>0.83198137390943172</v>
      </c>
      <c r="BQ27" s="18">
        <f t="shared" si="29"/>
        <v>0.82481793164882555</v>
      </c>
      <c r="BR27" s="18">
        <f t="shared" si="30"/>
        <v>9.8418497176733261E-2</v>
      </c>
      <c r="BS27" s="18">
        <f t="shared" si="31"/>
        <v>8.3046023243605896E-2</v>
      </c>
      <c r="BT27" s="29">
        <f>BD27/Kool!BJ27</f>
        <v>1.2184573556993201</v>
      </c>
      <c r="BU27" s="27">
        <v>13.6</v>
      </c>
      <c r="BV27" s="27">
        <v>12.9</v>
      </c>
      <c r="BW27" s="27">
        <f t="shared" si="32"/>
        <v>14.6</v>
      </c>
      <c r="BX27" s="27">
        <f t="shared" si="33"/>
        <v>13.366666666666669</v>
      </c>
      <c r="BY27" s="2">
        <v>2003.7964969303</v>
      </c>
      <c r="BZ27" s="2">
        <v>1991.6358757062151</v>
      </c>
      <c r="CA27" s="2">
        <f>VLOOKUP(A27,'[1]kaugused autoga'!$A$3:$B$82,2,FALSE)</f>
        <v>2655.3</v>
      </c>
      <c r="CB27" s="29">
        <v>1.66</v>
      </c>
      <c r="CC27">
        <v>4454</v>
      </c>
      <c r="CD27" s="18">
        <v>1.0706573473391208</v>
      </c>
      <c r="CE27" t="s">
        <v>233</v>
      </c>
      <c r="CG27" s="27">
        <f t="shared" si="34"/>
        <v>13.366666666666669</v>
      </c>
      <c r="CH27" s="2">
        <f t="shared" si="35"/>
        <v>1991.6358757062151</v>
      </c>
      <c r="CI27" s="56">
        <f t="shared" si="36"/>
        <v>1.0706573473391208</v>
      </c>
    </row>
    <row r="28" spans="1:87" ht="14.25" customHeight="1" x14ac:dyDescent="0.35">
      <c r="A28" t="s">
        <v>165</v>
      </c>
      <c r="B28" s="10" t="s">
        <v>33</v>
      </c>
      <c r="C28" s="11">
        <v>45605.18</v>
      </c>
      <c r="D28" s="11">
        <v>87</v>
      </c>
      <c r="E28" s="11">
        <v>304896.61</v>
      </c>
      <c r="F28" s="11">
        <v>75714.75</v>
      </c>
      <c r="G28" s="11"/>
      <c r="H28" s="11">
        <v>1331584.75</v>
      </c>
      <c r="I28" s="11">
        <v>63669.61</v>
      </c>
      <c r="J28" s="11">
        <f>Kool!AY28</f>
        <v>12506.510684713377</v>
      </c>
      <c r="K28" s="12">
        <f t="shared" si="4"/>
        <v>1682634.9106847136</v>
      </c>
      <c r="L28" s="11">
        <v>45787.63</v>
      </c>
      <c r="M28" s="11">
        <v>80.400000000000006</v>
      </c>
      <c r="N28" s="11">
        <v>294491.25</v>
      </c>
      <c r="O28" s="11">
        <v>71735.010000000009</v>
      </c>
      <c r="P28" s="11"/>
      <c r="Q28" s="11">
        <v>1333296.55</v>
      </c>
      <c r="R28" s="11">
        <v>63669.61</v>
      </c>
      <c r="S28" s="11">
        <f>Kool!AZ28</f>
        <v>14203.262145214523</v>
      </c>
      <c r="T28" s="12">
        <f t="shared" si="5"/>
        <v>1679793.6921452146</v>
      </c>
      <c r="U28" s="11">
        <v>378045.66</v>
      </c>
      <c r="V28" s="11">
        <v>62160</v>
      </c>
      <c r="W28" s="11">
        <v>3180</v>
      </c>
      <c r="X28" s="11"/>
      <c r="Y28" s="11">
        <v>129726</v>
      </c>
      <c r="Z28" s="11">
        <v>57917</v>
      </c>
      <c r="AA28" s="11">
        <v>408848.66</v>
      </c>
      <c r="AB28" s="11">
        <v>82275</v>
      </c>
      <c r="AC28" s="11">
        <v>2851.2</v>
      </c>
      <c r="AD28" s="11"/>
      <c r="AE28" s="11">
        <v>129360</v>
      </c>
      <c r="AF28" s="11">
        <v>58347</v>
      </c>
      <c r="AG28" s="33">
        <v>123</v>
      </c>
      <c r="AH28" s="33">
        <v>37</v>
      </c>
      <c r="AI28" s="2">
        <f t="shared" si="6"/>
        <v>160</v>
      </c>
      <c r="AJ28" s="18">
        <f t="shared" si="7"/>
        <v>0.23125000000000001</v>
      </c>
      <c r="AK28" s="33">
        <v>128</v>
      </c>
      <c r="AL28" s="33">
        <v>40</v>
      </c>
      <c r="AM28" s="2">
        <f t="shared" si="8"/>
        <v>168</v>
      </c>
      <c r="AN28" s="18">
        <f t="shared" si="9"/>
        <v>0.23809523809523808</v>
      </c>
      <c r="AO28" s="2">
        <v>122</v>
      </c>
      <c r="AP28" s="2">
        <v>42</v>
      </c>
      <c r="AQ28" s="2">
        <f t="shared" si="10"/>
        <v>164</v>
      </c>
      <c r="AR28" s="18">
        <f t="shared" si="11"/>
        <v>0.25609756097560976</v>
      </c>
      <c r="AS28" s="34">
        <f t="shared" si="0"/>
        <v>162.66666666666669</v>
      </c>
      <c r="AT28" s="34">
        <f t="shared" si="1"/>
        <v>166.66666666666666</v>
      </c>
      <c r="AU28" s="34">
        <v>11</v>
      </c>
      <c r="AV28" s="34">
        <v>11</v>
      </c>
      <c r="AW28" s="34">
        <v>11</v>
      </c>
      <c r="AX28" s="34">
        <f t="shared" si="12"/>
        <v>11</v>
      </c>
      <c r="AY28" s="34">
        <f t="shared" si="13"/>
        <v>11</v>
      </c>
      <c r="AZ28" s="2">
        <f t="shared" si="14"/>
        <v>862.00558949011963</v>
      </c>
      <c r="BA28" s="2">
        <f t="shared" si="15"/>
        <v>682.16431864754088</v>
      </c>
      <c r="BB28" s="2">
        <f t="shared" si="16"/>
        <v>32.61762807377049</v>
      </c>
      <c r="BC28" s="2">
        <f t="shared" si="17"/>
        <v>147.22364276880825</v>
      </c>
      <c r="BD28" s="2">
        <f t="shared" si="2"/>
        <v>839.89684607260733</v>
      </c>
      <c r="BE28" s="2">
        <f t="shared" si="18"/>
        <v>666.64827500000013</v>
      </c>
      <c r="BF28" s="2">
        <f t="shared" si="19"/>
        <v>31.834805000000003</v>
      </c>
      <c r="BG28" s="2">
        <f t="shared" si="20"/>
        <v>141.41376607260719</v>
      </c>
      <c r="BH28" s="2">
        <f t="shared" si="21"/>
        <v>638.66406285077539</v>
      </c>
      <c r="BI28" s="2">
        <f t="shared" si="22"/>
        <v>33.4733606557377</v>
      </c>
      <c r="BJ28" s="2">
        <f t="shared" si="23"/>
        <v>66.457991803278688</v>
      </c>
      <c r="BK28" s="2">
        <f t="shared" si="24"/>
        <v>123.41017418032784</v>
      </c>
      <c r="BL28" s="2">
        <f t="shared" si="3"/>
        <v>606.2990160726074</v>
      </c>
      <c r="BM28" s="20">
        <f t="shared" si="25"/>
        <v>42.563099999999999</v>
      </c>
      <c r="BN28" s="20">
        <f t="shared" si="26"/>
        <v>64.680000000000007</v>
      </c>
      <c r="BO28" s="2">
        <f t="shared" si="27"/>
        <v>126.35472999999993</v>
      </c>
      <c r="BP28" s="18">
        <f t="shared" si="28"/>
        <v>0.79136878805048616</v>
      </c>
      <c r="BQ28" s="18">
        <f t="shared" si="29"/>
        <v>0.79372637022900516</v>
      </c>
      <c r="BR28" s="18">
        <f t="shared" si="30"/>
        <v>3.8831953137957433E-2</v>
      </c>
      <c r="BS28" s="18">
        <f t="shared" si="31"/>
        <v>5.0676580343201466E-2</v>
      </c>
      <c r="BT28" s="29">
        <f>BD28/Kool!BJ28</f>
        <v>0.77719711452797346</v>
      </c>
      <c r="BU28" s="27">
        <v>15.27</v>
      </c>
      <c r="BV28" s="27">
        <v>14.91</v>
      </c>
      <c r="BW28" s="27">
        <f t="shared" si="32"/>
        <v>14.787878787878789</v>
      </c>
      <c r="BX28" s="27">
        <f t="shared" si="33"/>
        <v>15.15151515151515</v>
      </c>
      <c r="BY28" s="2">
        <v>2217.1494119467661</v>
      </c>
      <c r="BZ28" s="2">
        <v>2200.3480166051659</v>
      </c>
      <c r="CA28" s="2">
        <f>VLOOKUP(A28,'[1]kaugused autoga'!$A$3:$B$82,2,FALSE)</f>
        <v>4798.1000000000004</v>
      </c>
      <c r="CB28" s="29">
        <v>2.04</v>
      </c>
      <c r="CC28">
        <v>4588</v>
      </c>
      <c r="CD28" s="18">
        <v>1.7456354506703566</v>
      </c>
      <c r="CE28" t="s">
        <v>232</v>
      </c>
      <c r="CG28" s="27">
        <f t="shared" si="34"/>
        <v>15.15151515151515</v>
      </c>
      <c r="CH28" s="2">
        <f t="shared" si="35"/>
        <v>2200.3480166051659</v>
      </c>
      <c r="CI28" s="56">
        <f t="shared" si="36"/>
        <v>1.7456354506703566</v>
      </c>
    </row>
    <row r="29" spans="1:87" ht="14.25" customHeight="1" x14ac:dyDescent="0.35">
      <c r="A29" t="s">
        <v>125</v>
      </c>
      <c r="B29" s="10" t="s">
        <v>34</v>
      </c>
      <c r="C29" s="11">
        <v>105400.77</v>
      </c>
      <c r="D29" s="11">
        <v>16521.04</v>
      </c>
      <c r="E29" s="11">
        <v>597726.52</v>
      </c>
      <c r="F29" s="11">
        <v>102124.3</v>
      </c>
      <c r="G29" s="11">
        <v>28358.77</v>
      </c>
      <c r="H29" s="11">
        <v>2900163.02</v>
      </c>
      <c r="I29" s="11">
        <v>101576.42</v>
      </c>
      <c r="J29" s="11">
        <f>Kool!AY29</f>
        <v>152493.10824538261</v>
      </c>
      <c r="K29" s="12">
        <f t="shared" si="4"/>
        <v>3771756.5782453823</v>
      </c>
      <c r="L29" s="11">
        <v>106168.62</v>
      </c>
      <c r="M29" s="11">
        <v>15843.75</v>
      </c>
      <c r="N29" s="11">
        <v>600331.62000000011</v>
      </c>
      <c r="O29" s="11">
        <v>121928</v>
      </c>
      <c r="P29" s="11">
        <v>28130.04</v>
      </c>
      <c r="Q29" s="11">
        <v>2948240.4300000011</v>
      </c>
      <c r="R29" s="11">
        <v>103976.28</v>
      </c>
      <c r="S29" s="11">
        <f>Kool!AZ29</f>
        <v>0</v>
      </c>
      <c r="T29" s="12">
        <f t="shared" si="5"/>
        <v>3652632.7000000011</v>
      </c>
      <c r="U29" s="11">
        <v>597907.06999999995</v>
      </c>
      <c r="V29" s="11">
        <v>379512.54</v>
      </c>
      <c r="W29" s="11">
        <v>154739</v>
      </c>
      <c r="X29" s="11"/>
      <c r="Y29" s="11">
        <v>37301.199999999997</v>
      </c>
      <c r="Z29" s="11">
        <v>171155</v>
      </c>
      <c r="AA29" s="11">
        <v>569053.21000000008</v>
      </c>
      <c r="AB29" s="11">
        <v>362456.5</v>
      </c>
      <c r="AC29" s="11">
        <v>151909.79999999999</v>
      </c>
      <c r="AD29" s="11"/>
      <c r="AE29" s="11">
        <v>37469.539999999994</v>
      </c>
      <c r="AF29" s="11">
        <v>172815</v>
      </c>
      <c r="AG29" s="33">
        <v>451</v>
      </c>
      <c r="AH29" s="33">
        <v>45</v>
      </c>
      <c r="AI29" s="2">
        <f t="shared" si="6"/>
        <v>496</v>
      </c>
      <c r="AJ29" s="18">
        <f t="shared" si="7"/>
        <v>9.0725806451612906E-2</v>
      </c>
      <c r="AK29" s="33">
        <v>491</v>
      </c>
      <c r="AL29" s="33">
        <v>0</v>
      </c>
      <c r="AM29" s="2">
        <f t="shared" si="8"/>
        <v>491</v>
      </c>
      <c r="AN29" s="18">
        <f t="shared" si="9"/>
        <v>0</v>
      </c>
      <c r="AO29" s="2">
        <v>469</v>
      </c>
      <c r="AP29" s="2">
        <v>0</v>
      </c>
      <c r="AQ29" s="2">
        <f t="shared" si="10"/>
        <v>469</v>
      </c>
      <c r="AR29" s="18">
        <f t="shared" si="11"/>
        <v>0</v>
      </c>
      <c r="AS29" s="34">
        <f t="shared" si="0"/>
        <v>494.33333333333337</v>
      </c>
      <c r="AT29" s="34">
        <f t="shared" si="1"/>
        <v>483.66666666666663</v>
      </c>
      <c r="AU29" s="34">
        <v>30</v>
      </c>
      <c r="AV29" s="34">
        <v>29</v>
      </c>
      <c r="AW29" s="34">
        <v>29</v>
      </c>
      <c r="AX29" s="34">
        <f t="shared" si="12"/>
        <v>29.666666666666664</v>
      </c>
      <c r="AY29" s="34">
        <f t="shared" si="13"/>
        <v>29</v>
      </c>
      <c r="AZ29" s="2">
        <f t="shared" si="14"/>
        <v>635.83219457946427</v>
      </c>
      <c r="BA29" s="2">
        <f t="shared" si="15"/>
        <v>488.90138570465268</v>
      </c>
      <c r="BB29" s="2">
        <f t="shared" si="16"/>
        <v>21.904111598111935</v>
      </c>
      <c r="BC29" s="2">
        <f t="shared" si="17"/>
        <v>125.02669727669965</v>
      </c>
      <c r="BD29" s="2">
        <f t="shared" si="2"/>
        <v>629.33023776705738</v>
      </c>
      <c r="BE29" s="2">
        <f t="shared" si="18"/>
        <v>507.96699345279143</v>
      </c>
      <c r="BF29" s="2">
        <f t="shared" si="19"/>
        <v>22.761254307374227</v>
      </c>
      <c r="BG29" s="2">
        <f t="shared" si="20"/>
        <v>98.601990006891725</v>
      </c>
      <c r="BH29" s="2">
        <f t="shared" si="21"/>
        <v>506.18585776220198</v>
      </c>
      <c r="BI29" s="2">
        <f t="shared" si="22"/>
        <v>90.062633175994605</v>
      </c>
      <c r="BJ29" s="2">
        <f t="shared" si="23"/>
        <v>6.2881321645313548</v>
      </c>
      <c r="BK29" s="2">
        <f t="shared" si="24"/>
        <v>33.295571476736335</v>
      </c>
      <c r="BL29" s="2">
        <f t="shared" si="3"/>
        <v>501.51007753273626</v>
      </c>
      <c r="BM29" s="20">
        <f t="shared" si="25"/>
        <v>88.622725706409369</v>
      </c>
      <c r="BN29" s="20">
        <f t="shared" si="26"/>
        <v>6.4558132322536181</v>
      </c>
      <c r="BO29" s="2">
        <f t="shared" si="27"/>
        <v>32.741621295658135</v>
      </c>
      <c r="BP29" s="18">
        <f t="shared" si="28"/>
        <v>0.76891574518023453</v>
      </c>
      <c r="BQ29" s="18">
        <f t="shared" si="29"/>
        <v>0.80715491322190724</v>
      </c>
      <c r="BR29" s="18">
        <f t="shared" si="30"/>
        <v>0.14164528619939024</v>
      </c>
      <c r="BS29" s="18">
        <f t="shared" si="31"/>
        <v>0.14082070173658573</v>
      </c>
      <c r="BT29" s="29">
        <f>BD29/Kool!BJ29</f>
        <v>1.4084868473381065</v>
      </c>
      <c r="BU29" s="27">
        <v>17.14</v>
      </c>
      <c r="BV29" s="27">
        <v>16.39</v>
      </c>
      <c r="BW29" s="27">
        <f t="shared" si="32"/>
        <v>16.662921348314608</v>
      </c>
      <c r="BX29" s="27">
        <f t="shared" si="33"/>
        <v>16.678160919540229</v>
      </c>
      <c r="BY29" s="2">
        <v>1634.104661912309</v>
      </c>
      <c r="BZ29" s="2">
        <v>1649.3668112914461</v>
      </c>
      <c r="CA29" s="2">
        <f>VLOOKUP(A29,'[1]kaugused autoga'!$A$3:$B$82,2,FALSE)</f>
        <v>1850.6</v>
      </c>
      <c r="CB29" s="29">
        <v>1.25</v>
      </c>
      <c r="CC29">
        <v>10254</v>
      </c>
      <c r="CD29" s="18">
        <v>1.0043954533645216</v>
      </c>
      <c r="CE29" t="s">
        <v>234</v>
      </c>
      <c r="CG29" s="27">
        <f t="shared" si="34"/>
        <v>16.678160919540229</v>
      </c>
      <c r="CH29" s="2">
        <f t="shared" si="35"/>
        <v>1649.3668112914461</v>
      </c>
      <c r="CI29" s="56">
        <f t="shared" si="36"/>
        <v>1.0043954533645216</v>
      </c>
    </row>
    <row r="30" spans="1:87" ht="14.25" customHeight="1" x14ac:dyDescent="0.35">
      <c r="A30" t="s">
        <v>99</v>
      </c>
      <c r="B30" s="10" t="s">
        <v>35</v>
      </c>
      <c r="C30" s="11">
        <v>83538.64</v>
      </c>
      <c r="D30" s="11">
        <v>14458.3</v>
      </c>
      <c r="E30" s="11">
        <v>535043.88</v>
      </c>
      <c r="F30" s="11">
        <v>123209.8</v>
      </c>
      <c r="G30" s="11"/>
      <c r="H30" s="11">
        <v>2539622.54</v>
      </c>
      <c r="I30" s="11">
        <v>107045.07</v>
      </c>
      <c r="J30" s="11">
        <f>Kool!AY30</f>
        <v>0</v>
      </c>
      <c r="K30" s="12">
        <f t="shared" si="4"/>
        <v>3156498.63</v>
      </c>
      <c r="L30" s="11">
        <v>99322.17</v>
      </c>
      <c r="M30" s="11">
        <v>4521.8100000000004</v>
      </c>
      <c r="N30" s="11">
        <v>590961.7699999999</v>
      </c>
      <c r="O30" s="11">
        <v>131122.67000000001</v>
      </c>
      <c r="P30" s="11"/>
      <c r="Q30" s="11">
        <v>2694997.45</v>
      </c>
      <c r="R30" s="11">
        <v>108157.68</v>
      </c>
      <c r="S30" s="11">
        <f>Kool!AZ30</f>
        <v>0</v>
      </c>
      <c r="T30" s="12">
        <f t="shared" si="5"/>
        <v>3366838.2100000004</v>
      </c>
      <c r="U30" s="11">
        <v>516994.53</v>
      </c>
      <c r="V30" s="11">
        <v>208741.25</v>
      </c>
      <c r="W30" s="11">
        <v>145462.46</v>
      </c>
      <c r="X30" s="11"/>
      <c r="Y30" s="11">
        <v>141605</v>
      </c>
      <c r="Z30" s="11">
        <v>137119</v>
      </c>
      <c r="AA30" s="11">
        <v>494966.7</v>
      </c>
      <c r="AB30" s="11">
        <v>220832.81</v>
      </c>
      <c r="AC30" s="11">
        <v>154779.01999999999</v>
      </c>
      <c r="AD30" s="11"/>
      <c r="AE30" s="11">
        <v>102237</v>
      </c>
      <c r="AF30" s="11">
        <v>138354</v>
      </c>
      <c r="AG30" s="33">
        <v>421</v>
      </c>
      <c r="AH30" s="33">
        <v>84</v>
      </c>
      <c r="AI30" s="2">
        <f t="shared" si="6"/>
        <v>505</v>
      </c>
      <c r="AJ30" s="18">
        <f t="shared" si="7"/>
        <v>0.16633663366336635</v>
      </c>
      <c r="AK30" s="33">
        <v>413</v>
      </c>
      <c r="AL30" s="33">
        <v>81</v>
      </c>
      <c r="AM30" s="2">
        <f t="shared" si="8"/>
        <v>494</v>
      </c>
      <c r="AN30" s="18">
        <f t="shared" si="9"/>
        <v>0.16396761133603238</v>
      </c>
      <c r="AO30" s="2">
        <v>406</v>
      </c>
      <c r="AP30" s="2">
        <v>74</v>
      </c>
      <c r="AQ30" s="2">
        <f t="shared" si="10"/>
        <v>480</v>
      </c>
      <c r="AR30" s="18">
        <f t="shared" si="11"/>
        <v>0.15416666666666667</v>
      </c>
      <c r="AS30" s="34">
        <f t="shared" si="0"/>
        <v>501.33333333333337</v>
      </c>
      <c r="AT30" s="34">
        <f t="shared" si="1"/>
        <v>489.33333333333331</v>
      </c>
      <c r="AU30" s="34">
        <v>31</v>
      </c>
      <c r="AV30" s="34">
        <v>31</v>
      </c>
      <c r="AW30" s="34">
        <v>33</v>
      </c>
      <c r="AX30" s="34">
        <f t="shared" si="12"/>
        <v>31</v>
      </c>
      <c r="AY30" s="34">
        <f t="shared" si="13"/>
        <v>31.666666666666668</v>
      </c>
      <c r="AZ30" s="2">
        <f t="shared" si="14"/>
        <v>524.68394780585106</v>
      </c>
      <c r="BA30" s="2">
        <f t="shared" si="15"/>
        <v>422.14470412234044</v>
      </c>
      <c r="BB30" s="2">
        <f t="shared" si="16"/>
        <v>17.793395944148937</v>
      </c>
      <c r="BC30" s="2">
        <f t="shared" si="17"/>
        <v>84.745847739361679</v>
      </c>
      <c r="BD30" s="2">
        <f t="shared" si="2"/>
        <v>573.37162976839249</v>
      </c>
      <c r="BE30" s="2">
        <f t="shared" si="18"/>
        <v>458.95733140326979</v>
      </c>
      <c r="BF30" s="2">
        <f t="shared" si="19"/>
        <v>18.419223433242507</v>
      </c>
      <c r="BG30" s="2">
        <f t="shared" si="20"/>
        <v>95.995074931880197</v>
      </c>
      <c r="BH30" s="2">
        <f t="shared" si="21"/>
        <v>415.95497007978719</v>
      </c>
      <c r="BI30" s="2">
        <f t="shared" si="22"/>
        <v>58.876946476063814</v>
      </c>
      <c r="BJ30" s="2">
        <f t="shared" si="23"/>
        <v>23.538065159574469</v>
      </c>
      <c r="BK30" s="2">
        <f t="shared" si="24"/>
        <v>26.313966090425591</v>
      </c>
      <c r="BL30" s="2">
        <f t="shared" si="3"/>
        <v>465.51728712534072</v>
      </c>
      <c r="BM30" s="20">
        <f t="shared" si="25"/>
        <v>63.966592302452312</v>
      </c>
      <c r="BN30" s="20">
        <f t="shared" si="26"/>
        <v>17.410933242506811</v>
      </c>
      <c r="BO30" s="2">
        <f t="shared" si="27"/>
        <v>26.476817098092656</v>
      </c>
      <c r="BP30" s="18">
        <f t="shared" si="28"/>
        <v>0.80456950491374046</v>
      </c>
      <c r="BQ30" s="18">
        <f t="shared" si="29"/>
        <v>0.80045350619921818</v>
      </c>
      <c r="BR30" s="18">
        <f t="shared" si="30"/>
        <v>0.1122141180843788</v>
      </c>
      <c r="BS30" s="18">
        <f t="shared" si="31"/>
        <v>0.11156218581706066</v>
      </c>
      <c r="BT30" s="29">
        <f>BD30/Kool!BJ30</f>
        <v>0.92517458780855222</v>
      </c>
      <c r="BU30" s="27">
        <v>16.23</v>
      </c>
      <c r="BV30" s="27">
        <v>15.5</v>
      </c>
      <c r="BW30" s="27">
        <f t="shared" si="32"/>
        <v>16.172043010752688</v>
      </c>
      <c r="BX30" s="27">
        <f t="shared" si="33"/>
        <v>15.452631578947367</v>
      </c>
      <c r="BY30" s="2">
        <v>1669.0211870184769</v>
      </c>
      <c r="BZ30" s="2">
        <v>1689.640054869684</v>
      </c>
      <c r="CA30" s="2">
        <f>VLOOKUP(A30,'[1]kaugused autoga'!$A$3:$B$82,2,FALSE)</f>
        <v>2334.6999999999998</v>
      </c>
      <c r="CB30" s="29">
        <v>1.43</v>
      </c>
      <c r="CC30">
        <v>10465</v>
      </c>
      <c r="CD30" s="18">
        <v>0.99474749906855187</v>
      </c>
      <c r="CE30" t="s">
        <v>234</v>
      </c>
      <c r="CG30" s="27">
        <f t="shared" si="34"/>
        <v>15.452631578947367</v>
      </c>
      <c r="CH30" s="2">
        <f t="shared" si="35"/>
        <v>1689.640054869684</v>
      </c>
      <c r="CI30" s="56">
        <f t="shared" si="36"/>
        <v>0.99474749906855187</v>
      </c>
    </row>
    <row r="31" spans="1:87" ht="14.25" customHeight="1" x14ac:dyDescent="0.35">
      <c r="A31" t="s">
        <v>156</v>
      </c>
      <c r="B31" s="10" t="s">
        <v>36</v>
      </c>
      <c r="C31" s="11">
        <v>74234.67</v>
      </c>
      <c r="D31" s="11">
        <v>9903.93</v>
      </c>
      <c r="E31" s="11">
        <v>549070.54999999993</v>
      </c>
      <c r="F31" s="11">
        <v>80353.540000000008</v>
      </c>
      <c r="G31" s="11"/>
      <c r="H31" s="11">
        <v>2448743.5700000012</v>
      </c>
      <c r="I31" s="11">
        <v>116371.5</v>
      </c>
      <c r="J31" s="11">
        <f>Kool!AY31</f>
        <v>62222.089095354531</v>
      </c>
      <c r="K31" s="12">
        <f t="shared" si="4"/>
        <v>3180192.7690953556</v>
      </c>
      <c r="L31" s="11">
        <v>81426.509999999995</v>
      </c>
      <c r="M31" s="13"/>
      <c r="N31" s="11">
        <v>554237.72000000009</v>
      </c>
      <c r="O31" s="11">
        <v>70507</v>
      </c>
      <c r="P31" s="11"/>
      <c r="Q31" s="11">
        <v>2456469.37</v>
      </c>
      <c r="R31" s="11">
        <v>219825.79</v>
      </c>
      <c r="S31" s="11">
        <f>Kool!AZ31</f>
        <v>64343.577933101922</v>
      </c>
      <c r="T31" s="12">
        <f t="shared" si="5"/>
        <v>3305795.967933102</v>
      </c>
      <c r="U31" s="14">
        <f>350508.84+145742</f>
        <v>496250.84</v>
      </c>
      <c r="V31" s="38">
        <f>203847.41</f>
        <v>203847.41</v>
      </c>
      <c r="W31" s="11">
        <v>137534.85</v>
      </c>
      <c r="X31" s="11"/>
      <c r="Y31" s="14">
        <f>145742</f>
        <v>145742</v>
      </c>
      <c r="Z31" s="11">
        <v>164913</v>
      </c>
      <c r="AA31" s="38">
        <v>511032.63</v>
      </c>
      <c r="AB31" s="38">
        <f>213305.59</f>
        <v>213305.59</v>
      </c>
      <c r="AC31" s="11">
        <v>126944.3</v>
      </c>
      <c r="AD31" s="11"/>
      <c r="AE31" s="11">
        <v>166449</v>
      </c>
      <c r="AF31" s="11">
        <v>164623</v>
      </c>
      <c r="AG31" s="33">
        <v>339</v>
      </c>
      <c r="AH31" s="33">
        <v>118</v>
      </c>
      <c r="AI31" s="2">
        <f t="shared" si="6"/>
        <v>457</v>
      </c>
      <c r="AJ31" s="18">
        <f t="shared" si="7"/>
        <v>0.25820568927789933</v>
      </c>
      <c r="AK31" s="33">
        <v>333</v>
      </c>
      <c r="AL31" s="33">
        <v>120</v>
      </c>
      <c r="AM31" s="2">
        <f t="shared" si="8"/>
        <v>453</v>
      </c>
      <c r="AN31" s="18">
        <f t="shared" si="9"/>
        <v>0.26490066225165565</v>
      </c>
      <c r="AO31" s="2">
        <v>316</v>
      </c>
      <c r="AP31" s="2">
        <v>113</v>
      </c>
      <c r="AQ31" s="2">
        <f t="shared" si="10"/>
        <v>429</v>
      </c>
      <c r="AR31" s="18">
        <f t="shared" si="11"/>
        <v>0.26340326340326342</v>
      </c>
      <c r="AS31" s="34">
        <f t="shared" si="0"/>
        <v>455.66666666666669</v>
      </c>
      <c r="AT31" s="34">
        <f t="shared" si="1"/>
        <v>445</v>
      </c>
      <c r="AU31" s="34">
        <v>29</v>
      </c>
      <c r="AV31" s="34">
        <v>29</v>
      </c>
      <c r="AW31" s="34">
        <v>28</v>
      </c>
      <c r="AX31" s="34">
        <f t="shared" si="12"/>
        <v>29</v>
      </c>
      <c r="AY31" s="34">
        <f t="shared" si="13"/>
        <v>28.666666666666664</v>
      </c>
      <c r="AZ31" s="2">
        <f t="shared" si="14"/>
        <v>581.60072587698528</v>
      </c>
      <c r="BA31" s="2">
        <f t="shared" si="15"/>
        <v>447.83166971470399</v>
      </c>
      <c r="BB31" s="2">
        <f t="shared" si="16"/>
        <v>21.282278712509143</v>
      </c>
      <c r="BC31" s="2">
        <f t="shared" si="17"/>
        <v>112.48677744977215</v>
      </c>
      <c r="BD31" s="2">
        <f t="shared" si="2"/>
        <v>619.0629153432775</v>
      </c>
      <c r="BE31" s="2">
        <f t="shared" si="18"/>
        <v>460.01299063670416</v>
      </c>
      <c r="BF31" s="2">
        <f t="shared" si="19"/>
        <v>41.16587827715356</v>
      </c>
      <c r="BG31" s="2">
        <f t="shared" si="20"/>
        <v>117.88404642941978</v>
      </c>
      <c r="BH31" s="2">
        <f t="shared" si="21"/>
        <v>460.68561249000658</v>
      </c>
      <c r="BI31" s="2">
        <f t="shared" si="22"/>
        <v>62.432746891002189</v>
      </c>
      <c r="BJ31" s="2">
        <f t="shared" si="23"/>
        <v>26.653621068032184</v>
      </c>
      <c r="BK31" s="2">
        <f t="shared" si="24"/>
        <v>31.82874542794433</v>
      </c>
      <c r="BL31" s="2">
        <f t="shared" si="3"/>
        <v>492.535643807697</v>
      </c>
      <c r="BM31" s="20">
        <f t="shared" si="25"/>
        <v>63.71720786516854</v>
      </c>
      <c r="BN31" s="20">
        <f t="shared" si="26"/>
        <v>31.170224719101125</v>
      </c>
      <c r="BO31" s="2">
        <f t="shared" si="27"/>
        <v>31.639838951310832</v>
      </c>
      <c r="BP31" s="18">
        <f t="shared" si="28"/>
        <v>0.76999847109789399</v>
      </c>
      <c r="BQ31" s="18">
        <f t="shared" si="29"/>
        <v>0.74307954690133826</v>
      </c>
      <c r="BR31" s="18">
        <f t="shared" si="30"/>
        <v>0.10734640469518152</v>
      </c>
      <c r="BS31" s="18">
        <f t="shared" si="31"/>
        <v>0.10292525409931334</v>
      </c>
      <c r="BT31" s="29">
        <f>BD31/Kool!BJ31</f>
        <v>1.1087769612686933</v>
      </c>
      <c r="BU31" s="27">
        <v>15.48</v>
      </c>
      <c r="BV31" s="27">
        <v>15.32</v>
      </c>
      <c r="BW31" s="27">
        <f t="shared" si="32"/>
        <v>15.712643678160919</v>
      </c>
      <c r="BX31" s="27">
        <f t="shared" si="33"/>
        <v>15.52325581395349</v>
      </c>
      <c r="BY31" s="2">
        <v>1662.5951601164479</v>
      </c>
      <c r="BZ31" s="2">
        <v>1677.146017699115</v>
      </c>
      <c r="CA31" s="2">
        <f>VLOOKUP(A31,'[1]kaugused autoga'!$A$3:$B$82,2,FALSE)</f>
        <v>3557.2</v>
      </c>
      <c r="CB31" s="29">
        <v>2.0099999999999998</v>
      </c>
      <c r="CC31">
        <v>8512</v>
      </c>
      <c r="CD31" s="18">
        <v>0.99510976490378511</v>
      </c>
      <c r="CE31" t="s">
        <v>234</v>
      </c>
      <c r="CG31" s="27">
        <f t="shared" si="34"/>
        <v>15.52325581395349</v>
      </c>
      <c r="CH31" s="2">
        <f t="shared" si="35"/>
        <v>1677.146017699115</v>
      </c>
      <c r="CI31" s="56">
        <f t="shared" si="36"/>
        <v>0.99510976490378511</v>
      </c>
    </row>
    <row r="32" spans="1:87" ht="14.25" customHeight="1" x14ac:dyDescent="0.35">
      <c r="A32" t="s">
        <v>154</v>
      </c>
      <c r="B32" s="10" t="s">
        <v>37</v>
      </c>
      <c r="C32" s="11">
        <v>144661.81</v>
      </c>
      <c r="D32" s="11">
        <v>2017.75</v>
      </c>
      <c r="E32" s="11">
        <v>815336.58000000007</v>
      </c>
      <c r="F32" s="11">
        <v>68276.98000000001</v>
      </c>
      <c r="G32" s="11">
        <v>207938.05</v>
      </c>
      <c r="H32" s="11">
        <v>3789193.2800000012</v>
      </c>
      <c r="I32" s="11">
        <v>237808.29</v>
      </c>
      <c r="J32" s="11">
        <f>Kool!AY32</f>
        <v>201536.82034261245</v>
      </c>
      <c r="K32" s="12">
        <f t="shared" si="4"/>
        <v>5122277.5503426138</v>
      </c>
      <c r="L32" s="11">
        <v>154785.75</v>
      </c>
      <c r="M32" s="11">
        <v>1540.05</v>
      </c>
      <c r="N32" s="11">
        <v>866662.70999999985</v>
      </c>
      <c r="O32" s="11">
        <v>91685.119999999995</v>
      </c>
      <c r="P32" s="11">
        <v>209587.88</v>
      </c>
      <c r="Q32" s="11">
        <v>3912573.45</v>
      </c>
      <c r="R32" s="11">
        <v>215266.49</v>
      </c>
      <c r="S32" s="11">
        <f>Kool!AZ32</f>
        <v>220608.50386473417</v>
      </c>
      <c r="T32" s="12">
        <f t="shared" si="5"/>
        <v>5279751.8338647345</v>
      </c>
      <c r="U32" s="11">
        <v>579210.72</v>
      </c>
      <c r="V32" s="11">
        <v>257851.62</v>
      </c>
      <c r="W32" s="11">
        <v>118792.55</v>
      </c>
      <c r="X32" s="11"/>
      <c r="Y32" s="11">
        <v>191938.2</v>
      </c>
      <c r="Z32" s="11">
        <v>187895</v>
      </c>
      <c r="AA32" s="11">
        <v>608445.81000000006</v>
      </c>
      <c r="AB32" s="11">
        <v>285434.26</v>
      </c>
      <c r="AC32" s="11">
        <v>124799.48</v>
      </c>
      <c r="AD32" s="11"/>
      <c r="AE32" s="11">
        <v>186947.4</v>
      </c>
      <c r="AF32" s="11">
        <v>189098</v>
      </c>
      <c r="AG32" s="33">
        <v>468</v>
      </c>
      <c r="AH32" s="33">
        <v>167</v>
      </c>
      <c r="AI32" s="2">
        <f t="shared" si="6"/>
        <v>635</v>
      </c>
      <c r="AJ32" s="18">
        <f t="shared" si="7"/>
        <v>0.26299212598425198</v>
      </c>
      <c r="AK32" s="33">
        <v>476</v>
      </c>
      <c r="AL32" s="33">
        <v>160</v>
      </c>
      <c r="AM32" s="2">
        <f t="shared" si="8"/>
        <v>636</v>
      </c>
      <c r="AN32" s="18">
        <f t="shared" si="9"/>
        <v>0.25157232704402516</v>
      </c>
      <c r="AO32" s="2">
        <v>479</v>
      </c>
      <c r="AP32" s="2">
        <v>168</v>
      </c>
      <c r="AQ32" s="2">
        <f t="shared" si="10"/>
        <v>647</v>
      </c>
      <c r="AR32" s="18">
        <f t="shared" si="11"/>
        <v>0.25965996908809891</v>
      </c>
      <c r="AS32" s="34">
        <f t="shared" si="0"/>
        <v>635.33333333333326</v>
      </c>
      <c r="AT32" s="34">
        <f t="shared" si="1"/>
        <v>639.66666666666663</v>
      </c>
      <c r="AU32" s="34">
        <v>40</v>
      </c>
      <c r="AV32" s="34">
        <v>41</v>
      </c>
      <c r="AW32" s="34">
        <v>41</v>
      </c>
      <c r="AX32" s="34">
        <f t="shared" si="12"/>
        <v>40.333333333333336</v>
      </c>
      <c r="AY32" s="34">
        <f t="shared" si="13"/>
        <v>41</v>
      </c>
      <c r="AZ32" s="2">
        <f t="shared" si="14"/>
        <v>671.8622180407416</v>
      </c>
      <c r="BA32" s="2">
        <f t="shared" si="15"/>
        <v>497.00856243441785</v>
      </c>
      <c r="BB32" s="2">
        <f t="shared" si="16"/>
        <v>58.466204092339979</v>
      </c>
      <c r="BC32" s="2">
        <f t="shared" si="17"/>
        <v>116.38745151398376</v>
      </c>
      <c r="BD32" s="2">
        <f t="shared" si="2"/>
        <v>687.82592937268555</v>
      </c>
      <c r="BE32" s="2">
        <f t="shared" si="18"/>
        <v>509.71514460656596</v>
      </c>
      <c r="BF32" s="2">
        <f t="shared" si="19"/>
        <v>55.348406722251177</v>
      </c>
      <c r="BG32" s="2">
        <f t="shared" si="20"/>
        <v>122.76237804386841</v>
      </c>
      <c r="BH32" s="2">
        <f t="shared" si="21"/>
        <v>571.24499348670179</v>
      </c>
      <c r="BI32" s="2">
        <f t="shared" si="22"/>
        <v>49.402435729275972</v>
      </c>
      <c r="BJ32" s="2">
        <f t="shared" si="23"/>
        <v>25.175524658971671</v>
      </c>
      <c r="BK32" s="2">
        <f t="shared" si="24"/>
        <v>26.039264165792165</v>
      </c>
      <c r="BL32" s="2">
        <f t="shared" si="3"/>
        <v>583.92496402615109</v>
      </c>
      <c r="BM32" s="20">
        <f t="shared" si="25"/>
        <v>53.443686816050025</v>
      </c>
      <c r="BN32" s="20">
        <f t="shared" si="26"/>
        <v>24.354794163626892</v>
      </c>
      <c r="BO32" s="2">
        <f t="shared" si="27"/>
        <v>26.102484366857546</v>
      </c>
      <c r="BP32" s="18">
        <f t="shared" si="28"/>
        <v>0.73974774751254035</v>
      </c>
      <c r="BQ32" s="18">
        <f t="shared" si="29"/>
        <v>0.74105252919359832</v>
      </c>
      <c r="BR32" s="18">
        <f t="shared" si="30"/>
        <v>7.3530605535970503E-2</v>
      </c>
      <c r="BS32" s="18">
        <f t="shared" si="31"/>
        <v>7.7699436054689014E-2</v>
      </c>
      <c r="BT32" s="29">
        <f>BD32/Kool!BJ32</f>
        <v>1.3494711509990294</v>
      </c>
      <c r="BU32" s="27">
        <v>15.48</v>
      </c>
      <c r="BV32" s="27">
        <v>15.83</v>
      </c>
      <c r="BW32" s="27">
        <f t="shared" si="32"/>
        <v>15.752066115702476</v>
      </c>
      <c r="BX32" s="27">
        <f t="shared" si="33"/>
        <v>15.601626016260163</v>
      </c>
      <c r="BY32" s="2">
        <v>1707.364600532012</v>
      </c>
      <c r="BZ32" s="2">
        <v>1688.0467485413139</v>
      </c>
      <c r="CA32" s="2">
        <f>VLOOKUP(A32,'[1]kaugused autoga'!$A$3:$B$82,2,FALSE)</f>
        <v>2293.9</v>
      </c>
      <c r="CB32" s="29">
        <v>1.57</v>
      </c>
      <c r="CC32">
        <v>12824</v>
      </c>
      <c r="CD32" s="18">
        <v>0.99307437077697303</v>
      </c>
      <c r="CE32" t="s">
        <v>234</v>
      </c>
      <c r="CG32" s="27">
        <f t="shared" si="34"/>
        <v>15.601626016260163</v>
      </c>
      <c r="CH32" s="2">
        <f t="shared" si="35"/>
        <v>1688.0467485413139</v>
      </c>
      <c r="CI32" s="56">
        <f t="shared" si="36"/>
        <v>0.99307437077697303</v>
      </c>
    </row>
    <row r="33" spans="1:87" ht="14.25" customHeight="1" x14ac:dyDescent="0.35">
      <c r="A33" t="s">
        <v>120</v>
      </c>
      <c r="B33" s="10" t="s">
        <v>38</v>
      </c>
      <c r="C33" s="11">
        <v>112821.64</v>
      </c>
      <c r="D33" s="11">
        <v>10924.7</v>
      </c>
      <c r="E33" s="11">
        <v>803363.19000000006</v>
      </c>
      <c r="F33" s="11">
        <v>80347.820000000007</v>
      </c>
      <c r="G33" s="11">
        <v>200805.24</v>
      </c>
      <c r="H33" s="11">
        <v>2459760.5499999998</v>
      </c>
      <c r="I33" s="11">
        <v>31229</v>
      </c>
      <c r="J33" s="11">
        <f>Kool!AY33</f>
        <v>49056.084901185772</v>
      </c>
      <c r="K33" s="12">
        <f t="shared" si="4"/>
        <v>3386807.3449011855</v>
      </c>
      <c r="L33" s="11">
        <v>119028.03</v>
      </c>
      <c r="M33" s="11">
        <v>13665.46</v>
      </c>
      <c r="N33" s="11">
        <v>832600.43</v>
      </c>
      <c r="O33" s="11">
        <v>93000.6</v>
      </c>
      <c r="P33" s="11">
        <v>200805.24</v>
      </c>
      <c r="Q33" s="11">
        <v>2486949.9</v>
      </c>
      <c r="R33" s="11">
        <v>31229</v>
      </c>
      <c r="S33" s="11">
        <f>Kool!AZ33</f>
        <v>50469.017892644137</v>
      </c>
      <c r="T33" s="12">
        <f t="shared" si="5"/>
        <v>3440941.237892644</v>
      </c>
      <c r="U33" s="11">
        <v>431621.3</v>
      </c>
      <c r="V33" s="11">
        <v>296227.53999999998</v>
      </c>
      <c r="W33" s="38"/>
      <c r="X33" s="11"/>
      <c r="Y33" s="11">
        <v>110909.1</v>
      </c>
      <c r="Z33" s="11">
        <v>137283</v>
      </c>
      <c r="AA33" s="11">
        <v>480911.48</v>
      </c>
      <c r="AB33" s="11">
        <v>307800</v>
      </c>
      <c r="AC33" s="38"/>
      <c r="AD33" s="11"/>
      <c r="AE33" s="11">
        <v>134750</v>
      </c>
      <c r="AF33" s="11">
        <v>137852</v>
      </c>
      <c r="AG33" s="33">
        <v>422</v>
      </c>
      <c r="AH33" s="33">
        <v>48</v>
      </c>
      <c r="AI33" s="2">
        <f t="shared" si="6"/>
        <v>470</v>
      </c>
      <c r="AJ33" s="18">
        <f t="shared" si="7"/>
        <v>0.10212765957446808</v>
      </c>
      <c r="AK33" s="33">
        <v>423</v>
      </c>
      <c r="AL33" s="33">
        <v>48</v>
      </c>
      <c r="AM33" s="2">
        <f t="shared" si="8"/>
        <v>471</v>
      </c>
      <c r="AN33" s="18">
        <f t="shared" si="9"/>
        <v>0.10191082802547771</v>
      </c>
      <c r="AO33" s="2">
        <v>398</v>
      </c>
      <c r="AP33" s="2">
        <v>48</v>
      </c>
      <c r="AQ33" s="2">
        <f t="shared" si="10"/>
        <v>446</v>
      </c>
      <c r="AR33" s="18">
        <f t="shared" si="11"/>
        <v>0.10762331838565023</v>
      </c>
      <c r="AS33" s="34">
        <f t="shared" si="0"/>
        <v>470.33333333333331</v>
      </c>
      <c r="AT33" s="34">
        <f t="shared" si="1"/>
        <v>462.66666666666663</v>
      </c>
      <c r="AU33" s="34">
        <v>29</v>
      </c>
      <c r="AV33" s="34">
        <v>29</v>
      </c>
      <c r="AW33" s="34">
        <v>30</v>
      </c>
      <c r="AX33" s="34">
        <f t="shared" si="12"/>
        <v>29</v>
      </c>
      <c r="AY33" s="34">
        <f t="shared" si="13"/>
        <v>29.333333333333332</v>
      </c>
      <c r="AZ33" s="2">
        <f t="shared" si="14"/>
        <v>600.07217308667362</v>
      </c>
      <c r="BA33" s="2">
        <f t="shared" si="15"/>
        <v>435.81866583982992</v>
      </c>
      <c r="BB33" s="2">
        <f t="shared" si="16"/>
        <v>41.111665485471299</v>
      </c>
      <c r="BC33" s="2">
        <f t="shared" si="17"/>
        <v>123.1418417613724</v>
      </c>
      <c r="BD33" s="2">
        <f t="shared" si="2"/>
        <v>619.76607310746476</v>
      </c>
      <c r="BE33" s="2">
        <f t="shared" si="18"/>
        <v>447.93766210374639</v>
      </c>
      <c r="BF33" s="2">
        <f t="shared" si="19"/>
        <v>41.792910662824205</v>
      </c>
      <c r="BG33" s="2">
        <f t="shared" si="20"/>
        <v>130.03550034089417</v>
      </c>
      <c r="BH33" s="2">
        <f t="shared" si="21"/>
        <v>499.27410434110311</v>
      </c>
      <c r="BI33" s="2">
        <f t="shared" si="22"/>
        <v>52.485389794472006</v>
      </c>
      <c r="BJ33" s="2">
        <f t="shared" si="23"/>
        <v>19.650797306874559</v>
      </c>
      <c r="BK33" s="2">
        <f t="shared" si="24"/>
        <v>28.661881644223939</v>
      </c>
      <c r="BL33" s="2">
        <f t="shared" si="3"/>
        <v>508.31731950515928</v>
      </c>
      <c r="BM33" s="20">
        <f t="shared" si="25"/>
        <v>55.439481268011527</v>
      </c>
      <c r="BN33" s="20">
        <f t="shared" si="26"/>
        <v>24.270533141210379</v>
      </c>
      <c r="BO33" s="2">
        <f t="shared" si="27"/>
        <v>31.738739193083582</v>
      </c>
      <c r="BP33" s="18">
        <f t="shared" si="28"/>
        <v>0.72627708030194038</v>
      </c>
      <c r="BQ33" s="18">
        <f t="shared" si="29"/>
        <v>0.72275279583765784</v>
      </c>
      <c r="BR33" s="18">
        <f t="shared" si="30"/>
        <v>8.7465128610273168E-2</v>
      </c>
      <c r="BS33" s="18">
        <f t="shared" si="31"/>
        <v>8.9452268643944566E-2</v>
      </c>
      <c r="BT33" s="29">
        <f>BD33/Kool!BJ33</f>
        <v>1.2795912663472424</v>
      </c>
      <c r="BU33" s="27">
        <v>16.46</v>
      </c>
      <c r="BV33" s="27">
        <v>15.07</v>
      </c>
      <c r="BW33" s="27">
        <f t="shared" si="32"/>
        <v>16.2183908045977</v>
      </c>
      <c r="BX33" s="27">
        <f t="shared" si="33"/>
        <v>15.772727272727272</v>
      </c>
      <c r="BY33" s="2">
        <v>1708.828239029476</v>
      </c>
      <c r="BZ33" s="2">
        <v>1680.686524923897</v>
      </c>
      <c r="CA33" s="2">
        <f>VLOOKUP(A33,'[1]kaugused autoga'!$A$3:$B$82,2,FALSE)</f>
        <v>2553.6999999999998</v>
      </c>
      <c r="CB33" s="29">
        <v>1.57</v>
      </c>
      <c r="CC33">
        <v>9178</v>
      </c>
      <c r="CD33" s="18">
        <v>1.0108534411329582</v>
      </c>
      <c r="CE33" t="s">
        <v>233</v>
      </c>
      <c r="CG33" s="27">
        <f t="shared" si="34"/>
        <v>15.772727272727272</v>
      </c>
      <c r="CH33" s="2">
        <f t="shared" si="35"/>
        <v>1680.686524923897</v>
      </c>
      <c r="CI33" s="56">
        <f t="shared" si="36"/>
        <v>1.0108534411329582</v>
      </c>
    </row>
    <row r="34" spans="1:87" ht="14.25" customHeight="1" x14ac:dyDescent="0.35">
      <c r="A34" t="s">
        <v>131</v>
      </c>
      <c r="B34" s="10" t="s">
        <v>39</v>
      </c>
      <c r="C34" s="11">
        <v>34391.65</v>
      </c>
      <c r="D34" s="11">
        <v>54.15</v>
      </c>
      <c r="E34" s="11">
        <v>246805.82</v>
      </c>
      <c r="F34" s="11">
        <v>94557.62000000001</v>
      </c>
      <c r="G34" s="11"/>
      <c r="H34" s="11">
        <v>986049.41000000015</v>
      </c>
      <c r="I34" s="11">
        <v>20367.669999999998</v>
      </c>
      <c r="J34" s="11">
        <f>Kool!AY34</f>
        <v>0</v>
      </c>
      <c r="K34" s="12">
        <f t="shared" si="4"/>
        <v>1193111.08</v>
      </c>
      <c r="L34" s="11">
        <v>42818.64</v>
      </c>
      <c r="M34" s="11">
        <v>508.42</v>
      </c>
      <c r="N34" s="11">
        <v>300450.84000000003</v>
      </c>
      <c r="O34" s="11">
        <v>103880.5</v>
      </c>
      <c r="P34" s="11"/>
      <c r="Q34" s="11">
        <v>975707.93</v>
      </c>
      <c r="R34" s="11">
        <v>16488</v>
      </c>
      <c r="S34" s="11">
        <f>Kool!AZ34</f>
        <v>0</v>
      </c>
      <c r="T34" s="12">
        <f t="shared" si="5"/>
        <v>1232093.33</v>
      </c>
      <c r="U34" s="11">
        <v>232909.73</v>
      </c>
      <c r="V34" s="11">
        <v>57761.97</v>
      </c>
      <c r="W34" s="11">
        <v>49159.91</v>
      </c>
      <c r="X34" s="11"/>
      <c r="Y34" s="11">
        <v>96955</v>
      </c>
      <c r="Z34" s="11">
        <v>86714</v>
      </c>
      <c r="AA34" s="11">
        <v>207181.62</v>
      </c>
      <c r="AB34" s="11">
        <v>60797</v>
      </c>
      <c r="AC34" s="11">
        <v>48133.69</v>
      </c>
      <c r="AD34" s="11"/>
      <c r="AE34" s="11">
        <v>88953</v>
      </c>
      <c r="AF34" s="11">
        <v>86847</v>
      </c>
      <c r="AG34" s="33">
        <v>116</v>
      </c>
      <c r="AH34" s="33">
        <v>46</v>
      </c>
      <c r="AI34" s="2">
        <f t="shared" si="6"/>
        <v>162</v>
      </c>
      <c r="AJ34" s="18">
        <f t="shared" si="7"/>
        <v>0.2839506172839506</v>
      </c>
      <c r="AK34" s="33">
        <v>109</v>
      </c>
      <c r="AL34" s="33">
        <v>46</v>
      </c>
      <c r="AM34" s="2">
        <f t="shared" si="8"/>
        <v>155</v>
      </c>
      <c r="AN34" s="18">
        <f t="shared" si="9"/>
        <v>0.29677419354838708</v>
      </c>
      <c r="AO34" s="2">
        <v>108</v>
      </c>
      <c r="AP34" s="2">
        <v>39</v>
      </c>
      <c r="AQ34" s="2">
        <f t="shared" si="10"/>
        <v>147</v>
      </c>
      <c r="AR34" s="18">
        <f t="shared" si="11"/>
        <v>0.26530612244897961</v>
      </c>
      <c r="AS34" s="34">
        <f t="shared" si="0"/>
        <v>159.66666666666666</v>
      </c>
      <c r="AT34" s="34">
        <f t="shared" si="1"/>
        <v>152.33333333333331</v>
      </c>
      <c r="AU34" s="34">
        <v>11</v>
      </c>
      <c r="AV34" s="34">
        <v>11</v>
      </c>
      <c r="AW34" s="34">
        <v>12</v>
      </c>
      <c r="AX34" s="34">
        <f t="shared" si="12"/>
        <v>11</v>
      </c>
      <c r="AY34" s="34">
        <f t="shared" si="13"/>
        <v>11.333333333333332</v>
      </c>
      <c r="AZ34" s="2">
        <f t="shared" si="14"/>
        <v>622.70933194154497</v>
      </c>
      <c r="BA34" s="2">
        <f t="shared" si="15"/>
        <v>514.63956680584567</v>
      </c>
      <c r="BB34" s="2">
        <f t="shared" si="16"/>
        <v>10.630307933194155</v>
      </c>
      <c r="BC34" s="2">
        <f t="shared" si="17"/>
        <v>97.439457202505139</v>
      </c>
      <c r="BD34" s="2">
        <f t="shared" si="2"/>
        <v>674.01166849015328</v>
      </c>
      <c r="BE34" s="2">
        <f t="shared" si="18"/>
        <v>533.75707330415764</v>
      </c>
      <c r="BF34" s="2">
        <f t="shared" si="19"/>
        <v>9.019693654266959</v>
      </c>
      <c r="BG34" s="2">
        <f t="shared" si="20"/>
        <v>131.23490153172867</v>
      </c>
      <c r="BH34" s="2">
        <f t="shared" si="21"/>
        <v>455.89110125260964</v>
      </c>
      <c r="BI34" s="2">
        <f t="shared" si="22"/>
        <v>55.804739039665975</v>
      </c>
      <c r="BJ34" s="2">
        <f t="shared" si="23"/>
        <v>50.602818371607519</v>
      </c>
      <c r="BK34" s="2">
        <f t="shared" si="24"/>
        <v>60.410673277661836</v>
      </c>
      <c r="BL34" s="2">
        <f t="shared" si="3"/>
        <v>513.16450218818397</v>
      </c>
      <c r="BM34" s="20">
        <f t="shared" si="25"/>
        <v>59.59009299781183</v>
      </c>
      <c r="BN34" s="20">
        <f t="shared" si="26"/>
        <v>48.661378555798699</v>
      </c>
      <c r="BO34" s="2">
        <f t="shared" si="27"/>
        <v>52.595694748358774</v>
      </c>
      <c r="BP34" s="18">
        <f t="shared" si="28"/>
        <v>0.82645231154839349</v>
      </c>
      <c r="BQ34" s="18">
        <f t="shared" si="29"/>
        <v>0.79191073130799272</v>
      </c>
      <c r="BR34" s="18">
        <f t="shared" si="30"/>
        <v>8.9616031392483586E-2</v>
      </c>
      <c r="BS34" s="18">
        <f t="shared" si="31"/>
        <v>8.841107028799515E-2</v>
      </c>
      <c r="BT34" s="29">
        <f>BD34/Kool!BJ34</f>
        <v>0.89851338726450114</v>
      </c>
      <c r="BU34" s="27">
        <v>14.09</v>
      </c>
      <c r="BV34" s="27">
        <v>12.08</v>
      </c>
      <c r="BW34" s="27">
        <f t="shared" si="32"/>
        <v>14.515151515151514</v>
      </c>
      <c r="BX34" s="27">
        <f t="shared" si="33"/>
        <v>13.441176470588236</v>
      </c>
      <c r="BY34" s="2">
        <v>1819.758992513021</v>
      </c>
      <c r="BZ34" s="2">
        <v>1682.3575434439181</v>
      </c>
      <c r="CA34" s="2">
        <f>VLOOKUP(A34,'[1]kaugused autoga'!$A$3:$B$82,2,FALSE)</f>
        <v>2755.5</v>
      </c>
      <c r="CB34" s="29">
        <v>1.92</v>
      </c>
      <c r="CC34">
        <v>5145</v>
      </c>
      <c r="CD34" s="18">
        <v>0.98285958513082483</v>
      </c>
      <c r="CE34" t="s">
        <v>234</v>
      </c>
      <c r="CG34" s="27">
        <f t="shared" si="34"/>
        <v>13.441176470588236</v>
      </c>
      <c r="CH34" s="2">
        <f t="shared" si="35"/>
        <v>1682.3575434439181</v>
      </c>
      <c r="CI34" s="56">
        <f t="shared" si="36"/>
        <v>0.98285958513082483</v>
      </c>
    </row>
    <row r="35" spans="1:87" ht="14.25" customHeight="1" x14ac:dyDescent="0.35">
      <c r="A35" t="s">
        <v>161</v>
      </c>
      <c r="B35" s="10" t="s">
        <v>40</v>
      </c>
      <c r="C35" s="11">
        <v>75776.510000000009</v>
      </c>
      <c r="D35" s="11">
        <v>853.54</v>
      </c>
      <c r="E35" s="11">
        <v>552339.57999999996</v>
      </c>
      <c r="F35" s="11">
        <v>153400</v>
      </c>
      <c r="G35" s="11">
        <v>33.840000000000003</v>
      </c>
      <c r="H35" s="11">
        <v>3159660.24</v>
      </c>
      <c r="I35" s="11">
        <v>136618.07999999999</v>
      </c>
      <c r="J35" s="11">
        <f>Kool!AY35</f>
        <v>0</v>
      </c>
      <c r="K35" s="12">
        <f t="shared" si="4"/>
        <v>3771847.95</v>
      </c>
      <c r="L35" s="11">
        <v>82333.53</v>
      </c>
      <c r="M35" s="11">
        <v>1380.66</v>
      </c>
      <c r="N35" s="11">
        <v>534928.31000000006</v>
      </c>
      <c r="O35" s="11">
        <v>121912.9</v>
      </c>
      <c r="P35" s="11">
        <v>5215.78</v>
      </c>
      <c r="Q35" s="11">
        <v>3302927.78</v>
      </c>
      <c r="R35" s="11">
        <v>120082.14</v>
      </c>
      <c r="S35" s="11">
        <f>Kool!AZ35</f>
        <v>0</v>
      </c>
      <c r="T35" s="12">
        <f t="shared" si="5"/>
        <v>3919739.52</v>
      </c>
      <c r="U35" s="11">
        <v>589611.22</v>
      </c>
      <c r="V35" s="11">
        <v>259823.57</v>
      </c>
      <c r="W35" s="11">
        <v>211678.61</v>
      </c>
      <c r="X35" s="11"/>
      <c r="Y35" s="11">
        <v>85579</v>
      </c>
      <c r="Z35" s="11">
        <v>157803</v>
      </c>
      <c r="AA35" s="11">
        <v>637047.62000000011</v>
      </c>
      <c r="AB35" s="11">
        <v>291353.59999999998</v>
      </c>
      <c r="AC35" s="11">
        <v>215621.57</v>
      </c>
      <c r="AD35" s="11"/>
      <c r="AE35" s="11">
        <v>102312</v>
      </c>
      <c r="AF35" s="11">
        <v>156319</v>
      </c>
      <c r="AG35" s="33">
        <v>538</v>
      </c>
      <c r="AH35" s="33">
        <v>90</v>
      </c>
      <c r="AI35" s="2">
        <f t="shared" si="6"/>
        <v>628</v>
      </c>
      <c r="AJ35" s="18">
        <f t="shared" si="7"/>
        <v>0.14331210191082802</v>
      </c>
      <c r="AK35" s="33">
        <v>509</v>
      </c>
      <c r="AL35" s="33">
        <v>86</v>
      </c>
      <c r="AM35" s="2">
        <f t="shared" si="8"/>
        <v>595</v>
      </c>
      <c r="AN35" s="18">
        <f t="shared" si="9"/>
        <v>0.14453781512605043</v>
      </c>
      <c r="AO35" s="2">
        <v>475</v>
      </c>
      <c r="AP35" s="2">
        <v>102</v>
      </c>
      <c r="AQ35" s="2">
        <f t="shared" si="10"/>
        <v>577</v>
      </c>
      <c r="AR35" s="18">
        <f t="shared" si="11"/>
        <v>0.17677642980935876</v>
      </c>
      <c r="AS35" s="34">
        <f t="shared" si="0"/>
        <v>617</v>
      </c>
      <c r="AT35" s="34">
        <f t="shared" si="1"/>
        <v>589</v>
      </c>
      <c r="AU35" s="34">
        <v>36</v>
      </c>
      <c r="AV35" s="34">
        <v>36</v>
      </c>
      <c r="AW35" s="34">
        <v>37</v>
      </c>
      <c r="AX35" s="34">
        <f t="shared" si="12"/>
        <v>36</v>
      </c>
      <c r="AY35" s="34">
        <f t="shared" si="13"/>
        <v>36.333333333333336</v>
      </c>
      <c r="AZ35" s="2">
        <f t="shared" si="14"/>
        <v>509.43381280388985</v>
      </c>
      <c r="BA35" s="2">
        <f t="shared" si="15"/>
        <v>426.75043760129665</v>
      </c>
      <c r="BB35" s="2">
        <f t="shared" si="16"/>
        <v>18.456499189627227</v>
      </c>
      <c r="BC35" s="2">
        <f t="shared" si="17"/>
        <v>64.226876012965974</v>
      </c>
      <c r="BD35" s="2">
        <f t="shared" si="2"/>
        <v>554.57548387096779</v>
      </c>
      <c r="BE35" s="2">
        <f t="shared" si="18"/>
        <v>467.30726938313524</v>
      </c>
      <c r="BF35" s="2">
        <f t="shared" si="19"/>
        <v>17.727492925863043</v>
      </c>
      <c r="BG35" s="2">
        <f t="shared" si="20"/>
        <v>69.540721561969505</v>
      </c>
      <c r="BH35" s="2">
        <f t="shared" si="21"/>
        <v>408.48645732036744</v>
      </c>
      <c r="BI35" s="2">
        <f t="shared" si="22"/>
        <v>63.68208806050783</v>
      </c>
      <c r="BJ35" s="2">
        <f t="shared" si="23"/>
        <v>11.558481901674769</v>
      </c>
      <c r="BK35" s="2">
        <f t="shared" si="24"/>
        <v>25.706785521339818</v>
      </c>
      <c r="BL35" s="2">
        <f t="shared" si="3"/>
        <v>442.32780135823424</v>
      </c>
      <c r="BM35" s="20">
        <f t="shared" si="25"/>
        <v>71.728235710243339</v>
      </c>
      <c r="BN35" s="20">
        <f t="shared" si="26"/>
        <v>14.475382003395586</v>
      </c>
      <c r="BO35" s="2">
        <f t="shared" si="27"/>
        <v>26.04406479909462</v>
      </c>
      <c r="BP35" s="18">
        <f t="shared" si="28"/>
        <v>0.83769554920685496</v>
      </c>
      <c r="BQ35" s="18">
        <f t="shared" si="29"/>
        <v>0.84263960988917952</v>
      </c>
      <c r="BR35" s="18">
        <f t="shared" si="30"/>
        <v>0.12500561694169032</v>
      </c>
      <c r="BS35" s="18">
        <f t="shared" si="31"/>
        <v>0.12933899495444021</v>
      </c>
      <c r="BT35" s="29">
        <f>BD35/Kool!BJ35</f>
        <v>1.069727715496479</v>
      </c>
      <c r="BU35" s="27">
        <v>16.97</v>
      </c>
      <c r="BV35" s="27">
        <v>16.14</v>
      </c>
      <c r="BW35" s="27">
        <f t="shared" si="32"/>
        <v>17.138888888888889</v>
      </c>
      <c r="BX35" s="27">
        <f t="shared" si="33"/>
        <v>16.211009174311926</v>
      </c>
      <c r="BY35" s="2">
        <v>1784.413107332919</v>
      </c>
      <c r="BZ35" s="2">
        <v>1762.062765011626</v>
      </c>
      <c r="CA35" s="2">
        <f>VLOOKUP(A35,'[1]kaugused autoga'!$A$3:$B$82,2,FALSE)</f>
        <v>1650</v>
      </c>
      <c r="CB35" s="29">
        <v>1.1599999999999999</v>
      </c>
      <c r="CC35">
        <v>12822</v>
      </c>
      <c r="CD35" s="18">
        <v>0.996250229888334</v>
      </c>
      <c r="CE35" t="s">
        <v>234</v>
      </c>
      <c r="CG35" s="27">
        <f t="shared" si="34"/>
        <v>16.211009174311926</v>
      </c>
      <c r="CH35" s="2">
        <f t="shared" si="35"/>
        <v>1762.062765011626</v>
      </c>
      <c r="CI35" s="56">
        <f t="shared" si="36"/>
        <v>0.996250229888334</v>
      </c>
    </row>
    <row r="36" spans="1:87" ht="14.25" customHeight="1" x14ac:dyDescent="0.35">
      <c r="A36" t="s">
        <v>92</v>
      </c>
      <c r="B36" s="10" t="s">
        <v>41</v>
      </c>
      <c r="C36" s="11">
        <v>1648.64</v>
      </c>
      <c r="D36" s="13"/>
      <c r="E36" s="11">
        <v>16666.560000000001</v>
      </c>
      <c r="F36" s="11">
        <v>4524</v>
      </c>
      <c r="G36" s="11"/>
      <c r="H36" s="11">
        <v>68942.889999999985</v>
      </c>
      <c r="J36" s="11">
        <f>Kool!AY36</f>
        <v>6856.8832888888892</v>
      </c>
      <c r="K36" s="12">
        <f t="shared" si="4"/>
        <v>89590.973288888868</v>
      </c>
      <c r="L36" s="11">
        <v>1933.12</v>
      </c>
      <c r="M36" s="13"/>
      <c r="N36" s="11">
        <v>15177.46</v>
      </c>
      <c r="O36" s="11">
        <v>5292</v>
      </c>
      <c r="P36" s="11"/>
      <c r="Q36" s="11">
        <v>67982.990000000005</v>
      </c>
      <c r="S36" s="11">
        <f>Kool!AZ36</f>
        <v>8242.2148997260265</v>
      </c>
      <c r="T36" s="12">
        <f t="shared" si="5"/>
        <v>88043.78489972603</v>
      </c>
      <c r="U36" s="11">
        <v>3963.27</v>
      </c>
      <c r="V36" s="11">
        <v>1713.27</v>
      </c>
      <c r="W36" s="11"/>
      <c r="X36" s="11"/>
      <c r="Y36" s="11"/>
      <c r="Z36" s="11">
        <v>798</v>
      </c>
      <c r="AA36" s="11">
        <v>1536.67</v>
      </c>
      <c r="AB36" s="11">
        <v>1536.67</v>
      </c>
      <c r="AC36" s="11"/>
      <c r="AD36" s="11"/>
      <c r="AE36" s="11"/>
      <c r="AF36" s="11">
        <v>713</v>
      </c>
      <c r="AG36" s="33">
        <v>0</v>
      </c>
      <c r="AH36" s="33">
        <v>7</v>
      </c>
      <c r="AI36" s="2">
        <f t="shared" si="6"/>
        <v>7</v>
      </c>
      <c r="AJ36" s="18">
        <f t="shared" si="7"/>
        <v>1</v>
      </c>
      <c r="AK36" s="33">
        <v>0</v>
      </c>
      <c r="AL36" s="33">
        <v>6</v>
      </c>
      <c r="AM36" s="2">
        <f t="shared" si="8"/>
        <v>6</v>
      </c>
      <c r="AN36" s="18">
        <f t="shared" si="9"/>
        <v>1</v>
      </c>
      <c r="AO36" s="2">
        <v>0</v>
      </c>
      <c r="AP36" s="2">
        <v>4</v>
      </c>
      <c r="AQ36" s="2">
        <f t="shared" si="10"/>
        <v>4</v>
      </c>
      <c r="AR36" s="18">
        <f t="shared" si="11"/>
        <v>1</v>
      </c>
      <c r="AS36" s="34">
        <f t="shared" ref="AS36:AS67" si="37">AI36*2/3+AM36*1/3</f>
        <v>6.666666666666667</v>
      </c>
      <c r="AT36" s="34">
        <f t="shared" ref="AT36:AT67" si="38">AM36*2/3+AQ36*1/3</f>
        <v>5.333333333333333</v>
      </c>
      <c r="AU36" s="34">
        <v>1</v>
      </c>
      <c r="AV36" s="34">
        <v>1</v>
      </c>
      <c r="AW36" s="34">
        <v>1</v>
      </c>
      <c r="AX36" s="34">
        <f t="shared" si="12"/>
        <v>1</v>
      </c>
      <c r="AY36" s="34">
        <f t="shared" si="13"/>
        <v>1</v>
      </c>
      <c r="AZ36" s="2">
        <f t="shared" si="14"/>
        <v>1119.8871661111109</v>
      </c>
      <c r="BA36" s="2">
        <f t="shared" si="15"/>
        <v>861.78612499999974</v>
      </c>
      <c r="BB36" s="2">
        <f t="shared" si="16"/>
        <v>0</v>
      </c>
      <c r="BC36" s="2">
        <f t="shared" si="17"/>
        <v>258.10104111111116</v>
      </c>
      <c r="BD36" s="2">
        <f t="shared" ref="BD36:BD60" si="39">T36/AT36/12</f>
        <v>1375.6841390582194</v>
      </c>
      <c r="BE36" s="2">
        <f t="shared" si="18"/>
        <v>1062.2342187500001</v>
      </c>
      <c r="BF36" s="2">
        <f t="shared" si="19"/>
        <v>0</v>
      </c>
      <c r="BG36" s="2">
        <f t="shared" si="20"/>
        <v>313.44992030821936</v>
      </c>
      <c r="BH36" s="2">
        <f t="shared" si="21"/>
        <v>1060.3712911111108</v>
      </c>
      <c r="BI36" s="2">
        <f t="shared" si="22"/>
        <v>21.415875</v>
      </c>
      <c r="BJ36" s="2">
        <f t="shared" si="23"/>
        <v>0</v>
      </c>
      <c r="BK36" s="2">
        <f t="shared" si="24"/>
        <v>38.100000000000051</v>
      </c>
      <c r="BL36" s="2">
        <f t="shared" ref="BL36:BL60" si="40">(T36-AA36-AF36)/AT36/12</f>
        <v>1340.5330453082192</v>
      </c>
      <c r="BM36" s="20">
        <f t="shared" si="25"/>
        <v>24.010468750000001</v>
      </c>
      <c r="BN36" s="20">
        <f t="shared" si="26"/>
        <v>0</v>
      </c>
      <c r="BO36" s="2">
        <f t="shared" si="27"/>
        <v>11.140625000000199</v>
      </c>
      <c r="BP36" s="18">
        <f t="shared" si="28"/>
        <v>0.7695294232119958</v>
      </c>
      <c r="BQ36" s="18">
        <f t="shared" si="29"/>
        <v>0.77214978976002135</v>
      </c>
      <c r="BR36" s="18">
        <f t="shared" si="30"/>
        <v>1.9123243526727941E-2</v>
      </c>
      <c r="BS36" s="18">
        <f t="shared" si="31"/>
        <v>1.7453475015302092E-2</v>
      </c>
      <c r="BT36" s="29">
        <f>BD36/Kool!BJ36</f>
        <v>0.81978412142053503</v>
      </c>
      <c r="BU36" s="27">
        <v>6</v>
      </c>
      <c r="BV36" s="27">
        <v>4</v>
      </c>
      <c r="BW36" s="27">
        <f t="shared" si="32"/>
        <v>6.666666666666667</v>
      </c>
      <c r="BX36" s="27">
        <f t="shared" si="33"/>
        <v>5.333333333333333</v>
      </c>
      <c r="BY36" s="2">
        <v>1849.6716954022991</v>
      </c>
      <c r="BZ36" s="2">
        <v>1844.4791666666661</v>
      </c>
      <c r="CA36" s="2">
        <f>VLOOKUP(A36,'[1]kaugused autoga'!$A$3:$B$82,2,FALSE)</f>
        <v>4262.8999999999996</v>
      </c>
      <c r="CB36" s="29">
        <v>2.1</v>
      </c>
      <c r="CC36">
        <v>445</v>
      </c>
      <c r="CD36" s="18">
        <v>1.5235119940509623</v>
      </c>
      <c r="CE36" t="s">
        <v>232</v>
      </c>
      <c r="CG36" s="27">
        <f t="shared" si="34"/>
        <v>5.333333333333333</v>
      </c>
      <c r="CH36" s="2">
        <f t="shared" si="35"/>
        <v>1844.4791666666661</v>
      </c>
      <c r="CI36" s="56">
        <f t="shared" si="36"/>
        <v>1.5235119940509623</v>
      </c>
    </row>
    <row r="37" spans="1:87" ht="14.25" customHeight="1" x14ac:dyDescent="0.35">
      <c r="A37" t="s">
        <v>137</v>
      </c>
      <c r="B37" s="10" t="s">
        <v>42</v>
      </c>
      <c r="C37" s="11">
        <v>70617.009999999995</v>
      </c>
      <c r="D37" s="11">
        <v>1551.08</v>
      </c>
      <c r="E37" s="11">
        <v>444547.38</v>
      </c>
      <c r="F37" s="11">
        <v>72815.679999999993</v>
      </c>
      <c r="G37" s="11">
        <v>23340</v>
      </c>
      <c r="H37" s="11">
        <v>1634792.86</v>
      </c>
      <c r="I37" s="11">
        <v>89633.790000000008</v>
      </c>
      <c r="J37" s="11">
        <f>Kool!AY37</f>
        <v>78433.491721550658</v>
      </c>
      <c r="K37" s="12">
        <f t="shared" si="4"/>
        <v>2246759.9317215504</v>
      </c>
      <c r="L37" s="11">
        <v>89207.21</v>
      </c>
      <c r="M37" s="11">
        <v>2181.56</v>
      </c>
      <c r="N37" s="11">
        <v>490726.35000000021</v>
      </c>
      <c r="O37" s="11">
        <v>67845.51999999999</v>
      </c>
      <c r="P37" s="11">
        <v>23340</v>
      </c>
      <c r="Q37" s="11">
        <v>1772920.3</v>
      </c>
      <c r="R37" s="11">
        <v>100176.71</v>
      </c>
      <c r="S37" s="11">
        <f>Kool!AZ37</f>
        <v>0</v>
      </c>
      <c r="T37" s="12">
        <f t="shared" si="5"/>
        <v>2387366.6100000003</v>
      </c>
      <c r="U37" s="11">
        <v>251100.19</v>
      </c>
      <c r="V37" s="11">
        <v>197842.31</v>
      </c>
      <c r="W37" s="11">
        <v>7442</v>
      </c>
      <c r="X37" s="11"/>
      <c r="Y37" s="11">
        <v>25247.53</v>
      </c>
      <c r="Z37" s="11">
        <v>71623</v>
      </c>
      <c r="AA37" s="11">
        <v>304035.46999999997</v>
      </c>
      <c r="AB37" s="11">
        <v>214551.64</v>
      </c>
      <c r="AC37" s="11">
        <v>9908.4</v>
      </c>
      <c r="AD37" s="11"/>
      <c r="AE37" s="11">
        <v>58793.71</v>
      </c>
      <c r="AF37" s="11">
        <v>71448</v>
      </c>
      <c r="AG37" s="33">
        <v>327</v>
      </c>
      <c r="AH37" s="33">
        <v>18</v>
      </c>
      <c r="AI37" s="2">
        <f t="shared" si="6"/>
        <v>345</v>
      </c>
      <c r="AJ37" s="18">
        <f t="shared" si="7"/>
        <v>5.2173913043478258E-2</v>
      </c>
      <c r="AK37" s="33">
        <v>338</v>
      </c>
      <c r="AL37" s="33">
        <v>0</v>
      </c>
      <c r="AM37" s="2">
        <f t="shared" si="8"/>
        <v>338</v>
      </c>
      <c r="AN37" s="18">
        <f t="shared" si="9"/>
        <v>0</v>
      </c>
      <c r="AO37" s="2">
        <v>352</v>
      </c>
      <c r="AP37" s="2">
        <v>0</v>
      </c>
      <c r="AQ37" s="2">
        <f t="shared" si="10"/>
        <v>352</v>
      </c>
      <c r="AR37" s="18">
        <f t="shared" si="11"/>
        <v>0</v>
      </c>
      <c r="AS37" s="34">
        <f t="shared" si="37"/>
        <v>342.66666666666669</v>
      </c>
      <c r="AT37" s="34">
        <f t="shared" si="38"/>
        <v>342.66666666666669</v>
      </c>
      <c r="AU37" s="34">
        <v>23</v>
      </c>
      <c r="AV37" s="34">
        <v>22</v>
      </c>
      <c r="AW37" s="34">
        <v>23</v>
      </c>
      <c r="AX37" s="34">
        <f t="shared" si="12"/>
        <v>22.666666666666668</v>
      </c>
      <c r="AY37" s="34">
        <f t="shared" si="13"/>
        <v>22.333333333333332</v>
      </c>
      <c r="AZ37" s="2">
        <f t="shared" si="14"/>
        <v>546.39103397897622</v>
      </c>
      <c r="BA37" s="2">
        <f t="shared" si="15"/>
        <v>397.56635700389103</v>
      </c>
      <c r="BB37" s="2">
        <f t="shared" si="16"/>
        <v>27.474170719844356</v>
      </c>
      <c r="BC37" s="2">
        <f t="shared" si="17"/>
        <v>121.35050625524084</v>
      </c>
      <c r="BD37" s="2">
        <f t="shared" si="39"/>
        <v>580.58526507782108</v>
      </c>
      <c r="BE37" s="2">
        <f t="shared" si="18"/>
        <v>431.15766050583653</v>
      </c>
      <c r="BF37" s="2">
        <f t="shared" si="19"/>
        <v>30.038110408560311</v>
      </c>
      <c r="BG37" s="2">
        <f t="shared" si="20"/>
        <v>119.38949416342423</v>
      </c>
      <c r="BH37" s="2">
        <f t="shared" si="21"/>
        <v>467.90776792839262</v>
      </c>
      <c r="BI37" s="2">
        <f t="shared" si="22"/>
        <v>49.923227140077813</v>
      </c>
      <c r="BJ37" s="2">
        <f t="shared" si="23"/>
        <v>6.1399635214007775</v>
      </c>
      <c r="BK37" s="2">
        <f t="shared" si="24"/>
        <v>22.420075389105019</v>
      </c>
      <c r="BL37" s="2">
        <f t="shared" si="40"/>
        <v>489.27119163424135</v>
      </c>
      <c r="BM37" s="20">
        <f t="shared" si="25"/>
        <v>54.586585603112837</v>
      </c>
      <c r="BN37" s="20">
        <f t="shared" si="26"/>
        <v>14.298081225680933</v>
      </c>
      <c r="BO37" s="2">
        <f t="shared" si="27"/>
        <v>22.429406614785961</v>
      </c>
      <c r="BP37" s="18">
        <f t="shared" si="28"/>
        <v>0.72762240278486778</v>
      </c>
      <c r="BQ37" s="18">
        <f t="shared" si="29"/>
        <v>0.74262590947437257</v>
      </c>
      <c r="BR37" s="18">
        <f t="shared" si="30"/>
        <v>9.1369045309039124E-2</v>
      </c>
      <c r="BS37" s="18">
        <f t="shared" si="31"/>
        <v>9.4019929348010761E-2</v>
      </c>
      <c r="BT37" s="29">
        <f>BD37/Kool!BJ37</f>
        <v>1.0484613686290043</v>
      </c>
      <c r="BU37" s="27">
        <v>15.36</v>
      </c>
      <c r="BV37" s="27">
        <v>15.3</v>
      </c>
      <c r="BW37" s="27">
        <f t="shared" si="32"/>
        <v>15.117647058823529</v>
      </c>
      <c r="BX37" s="27">
        <f t="shared" si="33"/>
        <v>15.343283582089555</v>
      </c>
      <c r="BY37" s="2">
        <v>1634.2255747126439</v>
      </c>
      <c r="BZ37" s="2">
        <v>1668.355325443787</v>
      </c>
      <c r="CA37" s="2">
        <f>VLOOKUP(A37,'[1]kaugused autoga'!$A$3:$B$82,2,FALSE)</f>
        <v>3761.2</v>
      </c>
      <c r="CB37" s="29">
        <v>2.0099999999999998</v>
      </c>
      <c r="CC37">
        <v>7189</v>
      </c>
      <c r="CD37" s="18">
        <v>1.0025348665982794</v>
      </c>
      <c r="CE37" t="s">
        <v>234</v>
      </c>
      <c r="CG37" s="27">
        <f t="shared" si="34"/>
        <v>15.343283582089555</v>
      </c>
      <c r="CH37" s="2">
        <f t="shared" si="35"/>
        <v>1668.355325443787</v>
      </c>
      <c r="CI37" s="56">
        <f t="shared" si="36"/>
        <v>1.0025348665982794</v>
      </c>
    </row>
    <row r="38" spans="1:87" ht="14.25" customHeight="1" x14ac:dyDescent="0.35">
      <c r="A38" t="s">
        <v>160</v>
      </c>
      <c r="B38" s="10" t="s">
        <v>43</v>
      </c>
      <c r="C38" s="11">
        <v>45903.45</v>
      </c>
      <c r="D38" s="11">
        <v>25.3</v>
      </c>
      <c r="E38" s="11">
        <v>280850.90000000008</v>
      </c>
      <c r="F38" s="11">
        <v>50562.2</v>
      </c>
      <c r="G38" s="11">
        <v>0</v>
      </c>
      <c r="H38" s="11">
        <v>1304962.22</v>
      </c>
      <c r="I38" s="11">
        <v>52040.45</v>
      </c>
      <c r="J38" s="11">
        <f>Kool!AY38</f>
        <v>0</v>
      </c>
      <c r="K38" s="12">
        <f t="shared" si="4"/>
        <v>1633220.1199999999</v>
      </c>
      <c r="L38" s="11">
        <v>52740.23</v>
      </c>
      <c r="M38" s="13"/>
      <c r="N38" s="11">
        <v>291245.84999999992</v>
      </c>
      <c r="O38" s="11">
        <v>35063</v>
      </c>
      <c r="P38" s="11">
        <v>859.68000000000006</v>
      </c>
      <c r="Q38" s="11">
        <v>1354296.56</v>
      </c>
      <c r="R38" s="11">
        <v>63761.54</v>
      </c>
      <c r="S38" s="11">
        <f>Kool!AZ38</f>
        <v>0</v>
      </c>
      <c r="T38" s="12">
        <f t="shared" si="5"/>
        <v>1726981.18</v>
      </c>
      <c r="U38" s="11">
        <v>219328.59</v>
      </c>
      <c r="V38" s="11">
        <v>97331.82</v>
      </c>
      <c r="W38" s="11">
        <v>64960.65</v>
      </c>
      <c r="X38" s="11"/>
      <c r="Y38" s="11">
        <v>53203.109999999993</v>
      </c>
      <c r="Z38" s="11">
        <v>85681</v>
      </c>
      <c r="AA38" s="11">
        <v>265028.38</v>
      </c>
      <c r="AB38" s="11">
        <v>103840</v>
      </c>
      <c r="AC38" s="11">
        <v>66923</v>
      </c>
      <c r="AD38" s="11"/>
      <c r="AE38" s="11">
        <v>84318</v>
      </c>
      <c r="AF38" s="11">
        <v>85594</v>
      </c>
      <c r="AG38" s="33">
        <v>132</v>
      </c>
      <c r="AH38" s="33">
        <v>65</v>
      </c>
      <c r="AI38" s="2">
        <f t="shared" si="6"/>
        <v>197</v>
      </c>
      <c r="AJ38" s="18">
        <f t="shared" si="7"/>
        <v>0.32994923857868019</v>
      </c>
      <c r="AK38" s="33">
        <v>128</v>
      </c>
      <c r="AL38" s="33">
        <v>70</v>
      </c>
      <c r="AM38" s="2">
        <f t="shared" si="8"/>
        <v>198</v>
      </c>
      <c r="AN38" s="18">
        <f t="shared" si="9"/>
        <v>0.35353535353535354</v>
      </c>
      <c r="AO38" s="2">
        <v>119</v>
      </c>
      <c r="AP38" s="2">
        <v>68</v>
      </c>
      <c r="AQ38" s="2">
        <f t="shared" si="10"/>
        <v>187</v>
      </c>
      <c r="AR38" s="18">
        <f t="shared" si="11"/>
        <v>0.36363636363636365</v>
      </c>
      <c r="AS38" s="34">
        <f t="shared" si="37"/>
        <v>197.33333333333334</v>
      </c>
      <c r="AT38" s="34">
        <f t="shared" si="38"/>
        <v>194.33333333333334</v>
      </c>
      <c r="AU38" s="34">
        <v>14</v>
      </c>
      <c r="AV38" s="34">
        <v>15</v>
      </c>
      <c r="AW38" s="34">
        <v>14</v>
      </c>
      <c r="AX38" s="34">
        <f t="shared" si="12"/>
        <v>14.333333333333334</v>
      </c>
      <c r="AY38" s="34">
        <f t="shared" si="13"/>
        <v>14.666666666666668</v>
      </c>
      <c r="AZ38" s="2">
        <f t="shared" si="14"/>
        <v>689.70444256756753</v>
      </c>
      <c r="BA38" s="2">
        <f t="shared" si="15"/>
        <v>551.08201858108112</v>
      </c>
      <c r="BB38" s="2">
        <f t="shared" si="16"/>
        <v>21.976541385135132</v>
      </c>
      <c r="BC38" s="2">
        <f t="shared" si="17"/>
        <v>116.64588260135127</v>
      </c>
      <c r="BD38" s="2">
        <f t="shared" si="39"/>
        <v>740.55796740994845</v>
      </c>
      <c r="BE38" s="2">
        <f t="shared" si="18"/>
        <v>580.74466552315607</v>
      </c>
      <c r="BF38" s="2">
        <f t="shared" si="19"/>
        <v>27.710643224699826</v>
      </c>
      <c r="BG38" s="2">
        <f t="shared" si="20"/>
        <v>132.10265866209255</v>
      </c>
      <c r="BH38" s="2">
        <f t="shared" si="21"/>
        <v>560.89971706081076</v>
      </c>
      <c r="BI38" s="2">
        <f t="shared" si="22"/>
        <v>68.535671452702701</v>
      </c>
      <c r="BJ38" s="2">
        <f t="shared" si="23"/>
        <v>22.467529560810807</v>
      </c>
      <c r="BK38" s="2">
        <f t="shared" si="24"/>
        <v>37.801524493243264</v>
      </c>
      <c r="BL38" s="2">
        <f t="shared" si="40"/>
        <v>590.2053173241851</v>
      </c>
      <c r="BM38" s="20">
        <f t="shared" si="25"/>
        <v>73.225986277873062</v>
      </c>
      <c r="BN38" s="20">
        <f t="shared" si="26"/>
        <v>36.156946826758144</v>
      </c>
      <c r="BO38" s="2">
        <f t="shared" si="27"/>
        <v>40.969716981132137</v>
      </c>
      <c r="BP38" s="18">
        <f t="shared" si="28"/>
        <v>0.79901184415974513</v>
      </c>
      <c r="BQ38" s="18">
        <f t="shared" si="29"/>
        <v>0.78419879480099497</v>
      </c>
      <c r="BR38" s="18">
        <f t="shared" si="30"/>
        <v>9.9369624469235668E-2</v>
      </c>
      <c r="BS38" s="18">
        <f t="shared" si="31"/>
        <v>9.8879479393052791E-2</v>
      </c>
      <c r="BT38" s="29">
        <f>BD38/Kool!BJ38</f>
        <v>1.1221279247505349</v>
      </c>
      <c r="BU38" s="27">
        <v>13.36</v>
      </c>
      <c r="BV38" s="27">
        <v>13.92</v>
      </c>
      <c r="BW38" s="27">
        <f t="shared" si="32"/>
        <v>13.767441860465116</v>
      </c>
      <c r="BX38" s="27">
        <f t="shared" si="33"/>
        <v>13.25</v>
      </c>
      <c r="BY38" s="2">
        <v>1626.882302405498</v>
      </c>
      <c r="BZ38" s="2">
        <v>1643.2330762639251</v>
      </c>
      <c r="CA38" s="2">
        <f>VLOOKUP(A38,'[1]kaugused autoga'!$A$3:$B$82,2,FALSE)</f>
        <v>4116.3999999999996</v>
      </c>
      <c r="CB38" s="29">
        <v>1.97</v>
      </c>
      <c r="CC38">
        <v>4269</v>
      </c>
      <c r="CD38" s="18">
        <v>1.0939586456210006</v>
      </c>
      <c r="CE38" t="s">
        <v>233</v>
      </c>
      <c r="CG38" s="27">
        <f t="shared" si="34"/>
        <v>13.25</v>
      </c>
      <c r="CH38" s="2">
        <f t="shared" si="35"/>
        <v>1643.2330762639251</v>
      </c>
      <c r="CI38" s="56">
        <f t="shared" si="36"/>
        <v>1.0939586456210006</v>
      </c>
    </row>
    <row r="39" spans="1:87" ht="14.25" customHeight="1" x14ac:dyDescent="0.35">
      <c r="A39" t="s">
        <v>152</v>
      </c>
      <c r="B39" s="10" t="s">
        <v>44</v>
      </c>
      <c r="C39" s="11">
        <v>51060.39</v>
      </c>
      <c r="D39" s="11">
        <v>-645.87</v>
      </c>
      <c r="E39" s="11">
        <v>316774.74</v>
      </c>
      <c r="F39" s="11">
        <v>42543.199999999997</v>
      </c>
      <c r="G39" s="11"/>
      <c r="H39" s="11">
        <v>1645128.14</v>
      </c>
      <c r="I39" s="11">
        <v>70817.09</v>
      </c>
      <c r="J39" s="11">
        <f>Kool!AY39</f>
        <v>-22475.578213802437</v>
      </c>
      <c r="K39" s="12">
        <f t="shared" si="4"/>
        <v>2018115.7117861975</v>
      </c>
      <c r="L39" s="11">
        <v>54427.6</v>
      </c>
      <c r="M39" s="13"/>
      <c r="N39" s="11">
        <v>345002.79</v>
      </c>
      <c r="O39" s="11">
        <v>43327.6</v>
      </c>
      <c r="P39" s="11"/>
      <c r="Q39" s="11">
        <v>1671657.12</v>
      </c>
      <c r="R39" s="11">
        <v>67363.94</v>
      </c>
      <c r="S39" s="11">
        <f>Kool!AZ39</f>
        <v>-24067.121326116368</v>
      </c>
      <c r="T39" s="12">
        <f t="shared" si="5"/>
        <v>2071056.7286738837</v>
      </c>
      <c r="U39" s="11">
        <v>205354.31</v>
      </c>
      <c r="V39" s="11">
        <v>55960</v>
      </c>
      <c r="W39" s="11">
        <v>98289.77</v>
      </c>
      <c r="X39" s="11"/>
      <c r="Y39" s="11">
        <v>36813</v>
      </c>
      <c r="Z39" s="11">
        <v>51945</v>
      </c>
      <c r="AA39" s="11">
        <v>245810.45</v>
      </c>
      <c r="AB39" s="11">
        <v>55180</v>
      </c>
      <c r="AC39" s="11">
        <v>96517.39</v>
      </c>
      <c r="AD39" s="11"/>
      <c r="AE39" s="11">
        <v>48222</v>
      </c>
      <c r="AF39" s="11">
        <v>53476</v>
      </c>
      <c r="AG39" s="33">
        <v>222</v>
      </c>
      <c r="AH39" s="33">
        <v>22</v>
      </c>
      <c r="AI39" s="2">
        <f t="shared" si="6"/>
        <v>244</v>
      </c>
      <c r="AJ39" s="18">
        <f t="shared" si="7"/>
        <v>9.0163934426229511E-2</v>
      </c>
      <c r="AK39" s="33">
        <v>226</v>
      </c>
      <c r="AL39" s="33">
        <v>25</v>
      </c>
      <c r="AM39" s="2">
        <f t="shared" si="8"/>
        <v>251</v>
      </c>
      <c r="AN39" s="18">
        <f t="shared" si="9"/>
        <v>9.9601593625498003E-2</v>
      </c>
      <c r="AO39" s="2">
        <v>214</v>
      </c>
      <c r="AP39" s="2">
        <v>23</v>
      </c>
      <c r="AQ39" s="2">
        <f t="shared" si="10"/>
        <v>237</v>
      </c>
      <c r="AR39" s="18">
        <f t="shared" si="11"/>
        <v>9.7046413502109699E-2</v>
      </c>
      <c r="AS39" s="34">
        <f t="shared" si="37"/>
        <v>246.33333333333331</v>
      </c>
      <c r="AT39" s="34">
        <f t="shared" si="38"/>
        <v>246.33333333333334</v>
      </c>
      <c r="AU39" s="34">
        <v>16</v>
      </c>
      <c r="AV39" s="34">
        <v>17</v>
      </c>
      <c r="AW39" s="34">
        <v>17</v>
      </c>
      <c r="AX39" s="34">
        <f t="shared" si="12"/>
        <v>16.333333333333332</v>
      </c>
      <c r="AY39" s="34">
        <f t="shared" si="13"/>
        <v>17</v>
      </c>
      <c r="AZ39" s="2">
        <f t="shared" si="14"/>
        <v>682.71844106434298</v>
      </c>
      <c r="BA39" s="2">
        <f t="shared" si="15"/>
        <v>556.53861299052778</v>
      </c>
      <c r="BB39" s="2">
        <f t="shared" si="16"/>
        <v>23.957066982408662</v>
      </c>
      <c r="BC39" s="2">
        <f t="shared" si="17"/>
        <v>102.22276109140654</v>
      </c>
      <c r="BD39" s="2">
        <f t="shared" si="39"/>
        <v>700.62812201416909</v>
      </c>
      <c r="BE39" s="2">
        <f t="shared" si="18"/>
        <v>565.51323410013526</v>
      </c>
      <c r="BF39" s="2">
        <f t="shared" si="19"/>
        <v>22.788883626522324</v>
      </c>
      <c r="BG39" s="2">
        <f t="shared" si="20"/>
        <v>112.32600428751151</v>
      </c>
      <c r="BH39" s="2">
        <f t="shared" si="21"/>
        <v>595.67537272875427</v>
      </c>
      <c r="BI39" s="2">
        <f t="shared" si="22"/>
        <v>52.181924898511511</v>
      </c>
      <c r="BJ39" s="2">
        <f t="shared" si="23"/>
        <v>12.453653585926929</v>
      </c>
      <c r="BK39" s="2">
        <f t="shared" si="24"/>
        <v>22.407489851150274</v>
      </c>
      <c r="BL39" s="2">
        <f t="shared" si="40"/>
        <v>599.38101443636117</v>
      </c>
      <c r="BM39" s="20">
        <f t="shared" si="25"/>
        <v>51.318467523680653</v>
      </c>
      <c r="BN39" s="20">
        <f t="shared" si="26"/>
        <v>16.313261163734776</v>
      </c>
      <c r="BO39" s="2">
        <f t="shared" si="27"/>
        <v>33.615378890392492</v>
      </c>
      <c r="BP39" s="18">
        <f t="shared" si="28"/>
        <v>0.81518028445649771</v>
      </c>
      <c r="BQ39" s="18">
        <f t="shared" si="29"/>
        <v>0.80715177757123868</v>
      </c>
      <c r="BR39" s="18">
        <f t="shared" si="30"/>
        <v>7.6432569797237407E-2</v>
      </c>
      <c r="BS39" s="18">
        <f t="shared" si="31"/>
        <v>7.3246371236355856E-2</v>
      </c>
      <c r="BT39" s="29">
        <f>BD39/Kool!BJ39</f>
        <v>1.5499982588808201</v>
      </c>
      <c r="BU39" s="27">
        <v>14.71</v>
      </c>
      <c r="BV39" s="27">
        <v>14.44</v>
      </c>
      <c r="BW39" s="27">
        <f t="shared" si="32"/>
        <v>15.081632653061224</v>
      </c>
      <c r="BX39" s="27">
        <f t="shared" si="33"/>
        <v>14.490196078431373</v>
      </c>
      <c r="BY39" s="2">
        <v>1646.3360042735039</v>
      </c>
      <c r="BZ39" s="2">
        <v>1673.6321907013401</v>
      </c>
      <c r="CA39" s="2">
        <f>VLOOKUP(A39,'[1]kaugused autoga'!$A$3:$B$82,2,FALSE)</f>
        <v>2504.4</v>
      </c>
      <c r="CB39" s="29">
        <v>1.49</v>
      </c>
      <c r="CC39">
        <v>4762</v>
      </c>
      <c r="CD39" s="18">
        <v>0.99474417578414909</v>
      </c>
      <c r="CE39" t="s">
        <v>234</v>
      </c>
      <c r="CG39" s="27">
        <f t="shared" si="34"/>
        <v>14.490196078431373</v>
      </c>
      <c r="CH39" s="2">
        <f t="shared" si="35"/>
        <v>1673.6321907013401</v>
      </c>
      <c r="CI39" s="56">
        <f t="shared" si="36"/>
        <v>0.99474417578414909</v>
      </c>
    </row>
    <row r="40" spans="1:87" ht="14.25" customHeight="1" x14ac:dyDescent="0.35">
      <c r="A40" t="s">
        <v>116</v>
      </c>
      <c r="B40" s="10" t="s">
        <v>45</v>
      </c>
      <c r="C40" s="11">
        <v>67646.77</v>
      </c>
      <c r="D40" s="11">
        <v>4523.5700000000006</v>
      </c>
      <c r="E40" s="14">
        <f>1720587.64+W40</f>
        <v>1868192.9617812061</v>
      </c>
      <c r="F40" s="11">
        <v>1377358.86</v>
      </c>
      <c r="G40" s="11">
        <v>6480</v>
      </c>
      <c r="H40" s="11">
        <v>3267335.1600000011</v>
      </c>
      <c r="I40" s="11">
        <v>204272.61</v>
      </c>
      <c r="J40" s="11">
        <f>Kool!AY40</f>
        <v>0</v>
      </c>
      <c r="K40" s="12">
        <f t="shared" si="4"/>
        <v>4034612.211781207</v>
      </c>
      <c r="L40" s="11">
        <v>73364.650000000009</v>
      </c>
      <c r="M40" s="11">
        <v>-1666.44</v>
      </c>
      <c r="N40" s="14">
        <f>1711030.13+AC40</f>
        <v>1868652.8700137653</v>
      </c>
      <c r="O40" s="11">
        <v>1335998.3400000001</v>
      </c>
      <c r="P40" s="11">
        <v>3240</v>
      </c>
      <c r="Q40" s="11">
        <v>3348726.5100000012</v>
      </c>
      <c r="R40" s="11">
        <v>189056.52</v>
      </c>
      <c r="S40" s="11">
        <f>Kool!AZ40</f>
        <v>0</v>
      </c>
      <c r="T40" s="12">
        <f t="shared" si="5"/>
        <v>4142135.7700137664</v>
      </c>
      <c r="U40" s="14">
        <f>680014.54+W40</f>
        <v>827619.86178120621</v>
      </c>
      <c r="V40" s="11">
        <v>495550.05</v>
      </c>
      <c r="W40" s="14">
        <f>W$84*AS40</f>
        <v>147605.32178120621</v>
      </c>
      <c r="X40" s="11"/>
      <c r="Y40" s="11">
        <v>108706.5</v>
      </c>
      <c r="Z40" s="11">
        <v>154375</v>
      </c>
      <c r="AA40" s="14">
        <f>629149.33+AC40</f>
        <v>786772.07001376536</v>
      </c>
      <c r="AB40" s="11">
        <v>508266.82</v>
      </c>
      <c r="AC40" s="14">
        <f>AC$84*AT40</f>
        <v>157622.7400137654</v>
      </c>
      <c r="AD40" s="11"/>
      <c r="AE40" s="11">
        <v>80252</v>
      </c>
      <c r="AF40" s="11">
        <v>155370</v>
      </c>
      <c r="AG40" s="33">
        <v>657</v>
      </c>
      <c r="AH40" s="33">
        <v>0</v>
      </c>
      <c r="AI40" s="2">
        <f t="shared" si="6"/>
        <v>657</v>
      </c>
      <c r="AJ40" s="18">
        <f t="shared" si="7"/>
        <v>0</v>
      </c>
      <c r="AK40" s="33">
        <v>634</v>
      </c>
      <c r="AL40" s="33">
        <v>0</v>
      </c>
      <c r="AM40" s="2">
        <f t="shared" si="8"/>
        <v>634</v>
      </c>
      <c r="AN40" s="18">
        <f t="shared" si="9"/>
        <v>0</v>
      </c>
      <c r="AO40" s="2">
        <v>601</v>
      </c>
      <c r="AP40" s="2">
        <v>0</v>
      </c>
      <c r="AQ40" s="2">
        <f t="shared" si="10"/>
        <v>601</v>
      </c>
      <c r="AR40" s="18">
        <f t="shared" si="11"/>
        <v>0</v>
      </c>
      <c r="AS40" s="34">
        <f t="shared" si="37"/>
        <v>649.33333333333337</v>
      </c>
      <c r="AT40" s="34">
        <f t="shared" si="38"/>
        <v>623</v>
      </c>
      <c r="AU40" s="34">
        <v>39</v>
      </c>
      <c r="AV40" s="34">
        <v>38</v>
      </c>
      <c r="AW40" s="34">
        <v>37</v>
      </c>
      <c r="AX40" s="34">
        <f t="shared" si="12"/>
        <v>38.666666666666664</v>
      </c>
      <c r="AY40" s="34">
        <f t="shared" si="13"/>
        <v>37.666666666666664</v>
      </c>
      <c r="AZ40" s="2">
        <f t="shared" si="14"/>
        <v>517.78904155302962</v>
      </c>
      <c r="BA40" s="2">
        <f t="shared" si="15"/>
        <v>419.3191940451747</v>
      </c>
      <c r="BB40" s="2">
        <f t="shared" si="16"/>
        <v>27.047306211498967</v>
      </c>
      <c r="BC40" s="2">
        <f t="shared" si="17"/>
        <v>71.422541296355959</v>
      </c>
      <c r="BD40" s="2">
        <f t="shared" si="39"/>
        <v>554.05775414844391</v>
      </c>
      <c r="BE40" s="2">
        <f t="shared" si="18"/>
        <v>447.93024478330676</v>
      </c>
      <c r="BF40" s="2">
        <f t="shared" si="19"/>
        <v>25.721845906902086</v>
      </c>
      <c r="BG40" s="2">
        <f t="shared" si="20"/>
        <v>80.405663458235054</v>
      </c>
      <c r="BH40" s="2">
        <f t="shared" si="21"/>
        <v>391.76300693018487</v>
      </c>
      <c r="BI40" s="2">
        <f t="shared" si="22"/>
        <v>82.540473791222567</v>
      </c>
      <c r="BJ40" s="2">
        <f t="shared" si="23"/>
        <v>13.951039527720738</v>
      </c>
      <c r="BK40" s="2">
        <f t="shared" si="24"/>
        <v>29.534521303901442</v>
      </c>
      <c r="BL40" s="2">
        <f t="shared" si="40"/>
        <v>428.03554039593382</v>
      </c>
      <c r="BM40" s="20">
        <f t="shared" si="25"/>
        <v>89.070299627309453</v>
      </c>
      <c r="BN40" s="20">
        <f t="shared" si="26"/>
        <v>10.734617442482611</v>
      </c>
      <c r="BO40" s="2">
        <f t="shared" si="27"/>
        <v>26.217296682718022</v>
      </c>
      <c r="BP40" s="18">
        <f t="shared" si="28"/>
        <v>0.8098263199767427</v>
      </c>
      <c r="BQ40" s="18">
        <f t="shared" si="29"/>
        <v>0.80845406716083368</v>
      </c>
      <c r="BR40" s="18">
        <f t="shared" si="30"/>
        <v>0.15940946440978154</v>
      </c>
      <c r="BS40" s="18">
        <f t="shared" si="31"/>
        <v>0.16075995500542281</v>
      </c>
      <c r="BT40" s="29">
        <f>BD40/Kool!BJ40</f>
        <v>1.2067131544747181</v>
      </c>
      <c r="BU40" s="27">
        <v>17.559999999999999</v>
      </c>
      <c r="BV40" s="27">
        <v>17.38</v>
      </c>
      <c r="BW40" s="27">
        <f t="shared" si="32"/>
        <v>16.793103448275865</v>
      </c>
      <c r="BX40" s="27">
        <f t="shared" si="33"/>
        <v>16.539823008849559</v>
      </c>
      <c r="BY40" s="2">
        <v>1677.259473771305</v>
      </c>
      <c r="BZ40" s="2">
        <v>1676.245897300159</v>
      </c>
      <c r="CA40" s="2">
        <f>VLOOKUP(A40,'[1]kaugused autoga'!$A$3:$B$82,2,FALSE)</f>
        <v>926.2</v>
      </c>
      <c r="CB40" s="29">
        <v>1</v>
      </c>
      <c r="CC40">
        <v>14939</v>
      </c>
      <c r="CD40" s="18">
        <v>0.99244082592043603</v>
      </c>
      <c r="CE40" t="s">
        <v>234</v>
      </c>
      <c r="CG40" s="27">
        <f t="shared" si="34"/>
        <v>16.539823008849559</v>
      </c>
      <c r="CH40" s="2">
        <f t="shared" si="35"/>
        <v>1676.245897300159</v>
      </c>
      <c r="CI40" s="56">
        <f t="shared" si="36"/>
        <v>0.99244082592043603</v>
      </c>
    </row>
    <row r="41" spans="1:87" ht="14.25" customHeight="1" x14ac:dyDescent="0.35">
      <c r="A41" t="s">
        <v>115</v>
      </c>
      <c r="B41" s="10" t="s">
        <v>46</v>
      </c>
      <c r="C41" s="11">
        <v>46086.55</v>
      </c>
      <c r="D41" s="13"/>
      <c r="E41" s="11">
        <v>636276.15</v>
      </c>
      <c r="F41" s="11">
        <v>404791.07</v>
      </c>
      <c r="G41" s="11"/>
      <c r="H41" s="11">
        <v>1159953.93</v>
      </c>
      <c r="I41" s="11">
        <v>91940.25</v>
      </c>
      <c r="J41" s="11">
        <f>Kool!AY41</f>
        <v>275018.60212651413</v>
      </c>
      <c r="K41" s="12">
        <f t="shared" si="4"/>
        <v>1804484.4121265141</v>
      </c>
      <c r="L41" s="11">
        <v>65356.11</v>
      </c>
      <c r="M41" s="13"/>
      <c r="N41" s="11">
        <v>673401.59</v>
      </c>
      <c r="O41" s="11">
        <v>360795.84</v>
      </c>
      <c r="P41" s="11"/>
      <c r="Q41" s="11">
        <v>1315362.6200000001</v>
      </c>
      <c r="R41" s="11">
        <v>98058.99</v>
      </c>
      <c r="S41" s="11">
        <f>Kool!AZ41</f>
        <v>0</v>
      </c>
      <c r="T41" s="12">
        <f t="shared" si="5"/>
        <v>1791383.47</v>
      </c>
      <c r="U41" s="11">
        <v>198054.79</v>
      </c>
      <c r="V41" s="11">
        <v>88960</v>
      </c>
      <c r="W41" s="11">
        <v>40036.04</v>
      </c>
      <c r="X41" s="11"/>
      <c r="Y41" s="11">
        <v>61619</v>
      </c>
      <c r="Z41" s="11">
        <v>62791</v>
      </c>
      <c r="AA41" s="11">
        <v>227594.34</v>
      </c>
      <c r="AB41" s="11">
        <v>85280</v>
      </c>
      <c r="AC41" s="11">
        <v>46920</v>
      </c>
      <c r="AD41" s="11"/>
      <c r="AE41" s="11">
        <v>79403</v>
      </c>
      <c r="AF41" s="11">
        <v>63572</v>
      </c>
      <c r="AG41" s="33">
        <v>167</v>
      </c>
      <c r="AH41" s="33">
        <v>53</v>
      </c>
      <c r="AI41" s="2">
        <f t="shared" si="6"/>
        <v>220</v>
      </c>
      <c r="AJ41" s="18">
        <f t="shared" si="7"/>
        <v>0.24090909090909091</v>
      </c>
      <c r="AK41" s="33">
        <v>214</v>
      </c>
      <c r="AL41" s="33">
        <v>0</v>
      </c>
      <c r="AM41" s="2">
        <f t="shared" si="8"/>
        <v>214</v>
      </c>
      <c r="AN41" s="18">
        <f t="shared" si="9"/>
        <v>0</v>
      </c>
      <c r="AO41" s="2">
        <v>194</v>
      </c>
      <c r="AP41" s="2">
        <v>0</v>
      </c>
      <c r="AQ41" s="2">
        <f t="shared" si="10"/>
        <v>194</v>
      </c>
      <c r="AR41" s="18">
        <f t="shared" si="11"/>
        <v>0</v>
      </c>
      <c r="AS41" s="34">
        <f t="shared" si="37"/>
        <v>218</v>
      </c>
      <c r="AT41" s="34">
        <f t="shared" si="38"/>
        <v>207.33333333333331</v>
      </c>
      <c r="AU41" s="34">
        <v>12</v>
      </c>
      <c r="AV41" s="34">
        <v>12</v>
      </c>
      <c r="AW41" s="34">
        <v>12</v>
      </c>
      <c r="AX41" s="34">
        <f t="shared" si="12"/>
        <v>12</v>
      </c>
      <c r="AY41" s="34">
        <f t="shared" si="13"/>
        <v>12</v>
      </c>
      <c r="AZ41" s="2">
        <f t="shared" si="14"/>
        <v>689.7876193144167</v>
      </c>
      <c r="BA41" s="2">
        <f t="shared" si="15"/>
        <v>443.40746559633027</v>
      </c>
      <c r="BB41" s="2">
        <f t="shared" si="16"/>
        <v>35.145355504587158</v>
      </c>
      <c r="BC41" s="2">
        <f t="shared" si="17"/>
        <v>211.23479821349929</v>
      </c>
      <c r="BD41" s="2">
        <f t="shared" si="39"/>
        <v>720.00943327974289</v>
      </c>
      <c r="BE41" s="2">
        <f t="shared" si="18"/>
        <v>528.68272508038592</v>
      </c>
      <c r="BF41" s="2">
        <f t="shared" si="19"/>
        <v>39.412777331189716</v>
      </c>
      <c r="BG41" s="2">
        <f t="shared" si="20"/>
        <v>151.91393086816726</v>
      </c>
      <c r="BH41" s="2">
        <f t="shared" si="21"/>
        <v>590.07592588934028</v>
      </c>
      <c r="BI41" s="2">
        <f t="shared" si="22"/>
        <v>49.310412844036705</v>
      </c>
      <c r="BJ41" s="2">
        <f t="shared" si="23"/>
        <v>23.554663608562691</v>
      </c>
      <c r="BK41" s="2">
        <f t="shared" si="24"/>
        <v>26.846616972477023</v>
      </c>
      <c r="BL41" s="2">
        <f t="shared" si="40"/>
        <v>602.98116157556274</v>
      </c>
      <c r="BM41" s="20">
        <f t="shared" si="25"/>
        <v>53.135048231511263</v>
      </c>
      <c r="BN41" s="20">
        <f t="shared" si="26"/>
        <v>31.914389067524116</v>
      </c>
      <c r="BO41" s="2">
        <f t="shared" si="27"/>
        <v>31.978834405144777</v>
      </c>
      <c r="BP41" s="18">
        <f t="shared" si="28"/>
        <v>0.64281737331997224</v>
      </c>
      <c r="BQ41" s="18">
        <f t="shared" si="29"/>
        <v>0.73427194234409232</v>
      </c>
      <c r="BR41" s="18">
        <f t="shared" si="30"/>
        <v>7.1486369809082059E-2</v>
      </c>
      <c r="BS41" s="18">
        <f t="shared" si="31"/>
        <v>7.3797711218134665E-2</v>
      </c>
      <c r="BT41" s="29">
        <f>BD41/Kool!BJ41</f>
        <v>0.99505968544973644</v>
      </c>
      <c r="BU41" s="27">
        <v>17.829999999999998</v>
      </c>
      <c r="BV41" s="27">
        <v>16.170000000000002</v>
      </c>
      <c r="BW41" s="27">
        <f t="shared" si="32"/>
        <v>18.166666666666668</v>
      </c>
      <c r="BX41" s="27">
        <f t="shared" si="33"/>
        <v>17.277777777777775</v>
      </c>
      <c r="BY41" s="2">
        <v>1687.871964238057</v>
      </c>
      <c r="BZ41" s="2">
        <v>1704.9033089815209</v>
      </c>
      <c r="CA41" s="2">
        <f>VLOOKUP(A41,'[1]kaugused autoga'!$A$3:$B$82,2,FALSE)</f>
        <v>3008.3</v>
      </c>
      <c r="CB41" s="29">
        <v>1.58</v>
      </c>
      <c r="CC41">
        <v>5605</v>
      </c>
      <c r="CD41" s="18">
        <v>1.0153337070503268</v>
      </c>
      <c r="CE41" t="s">
        <v>233</v>
      </c>
      <c r="CG41" s="27">
        <f t="shared" si="34"/>
        <v>17.277777777777775</v>
      </c>
      <c r="CH41" s="2">
        <f t="shared" si="35"/>
        <v>1704.9033089815209</v>
      </c>
      <c r="CI41" s="56">
        <f t="shared" si="36"/>
        <v>1.0153337070503268</v>
      </c>
    </row>
    <row r="42" spans="1:87" ht="14.25" customHeight="1" x14ac:dyDescent="0.35">
      <c r="A42" t="s">
        <v>105</v>
      </c>
      <c r="B42" s="10" t="s">
        <v>47</v>
      </c>
      <c r="C42" s="11">
        <v>54124.800000000003</v>
      </c>
      <c r="D42" s="11">
        <v>-0.03</v>
      </c>
      <c r="E42" s="11">
        <v>371543.06000000011</v>
      </c>
      <c r="F42" s="11">
        <v>103087.72</v>
      </c>
      <c r="G42" s="11"/>
      <c r="H42" s="11">
        <v>3073510.7600000012</v>
      </c>
      <c r="I42" s="11">
        <v>72735</v>
      </c>
      <c r="J42" s="11">
        <f>Kool!AY42</f>
        <v>58660.523732112197</v>
      </c>
      <c r="K42" s="12">
        <f t="shared" si="4"/>
        <v>3527486.3937321133</v>
      </c>
      <c r="L42" s="11">
        <v>49954.49</v>
      </c>
      <c r="M42" s="11">
        <v>15</v>
      </c>
      <c r="N42" s="11">
        <v>332047.91000000009</v>
      </c>
      <c r="O42" s="11">
        <v>93082.43</v>
      </c>
      <c r="P42" s="11"/>
      <c r="Q42" s="11">
        <v>3085213.74</v>
      </c>
      <c r="R42" s="11">
        <v>73044</v>
      </c>
      <c r="S42" s="11">
        <f>Kool!AZ42</f>
        <v>65793.823189731484</v>
      </c>
      <c r="T42" s="12">
        <f t="shared" si="5"/>
        <v>3512986.5331897321</v>
      </c>
      <c r="U42" s="11">
        <v>280346.40999999997</v>
      </c>
      <c r="V42" s="11">
        <v>179056.56</v>
      </c>
      <c r="W42" s="11">
        <v>23166.78</v>
      </c>
      <c r="X42" s="11"/>
      <c r="Y42" s="11">
        <v>59378.860000000008</v>
      </c>
      <c r="Z42" s="11">
        <v>135234</v>
      </c>
      <c r="AA42" s="11">
        <v>273631.45</v>
      </c>
      <c r="AB42" s="11">
        <v>194898.19</v>
      </c>
      <c r="AC42" s="11">
        <v>13879.37</v>
      </c>
      <c r="AD42" s="11"/>
      <c r="AE42" s="11">
        <v>59671</v>
      </c>
      <c r="AF42" s="11">
        <v>134772</v>
      </c>
      <c r="AG42" s="33">
        <v>451</v>
      </c>
      <c r="AH42" s="33">
        <v>48</v>
      </c>
      <c r="AI42" s="2">
        <f t="shared" si="6"/>
        <v>499</v>
      </c>
      <c r="AJ42" s="18">
        <f t="shared" si="7"/>
        <v>9.6192384769539077E-2</v>
      </c>
      <c r="AK42" s="33">
        <v>441</v>
      </c>
      <c r="AL42" s="33">
        <v>48</v>
      </c>
      <c r="AM42" s="2">
        <f t="shared" si="8"/>
        <v>489</v>
      </c>
      <c r="AN42" s="18">
        <f t="shared" si="9"/>
        <v>9.815950920245399E-2</v>
      </c>
      <c r="AO42" s="2">
        <v>419</v>
      </c>
      <c r="AP42" s="2">
        <v>43</v>
      </c>
      <c r="AQ42" s="2">
        <f t="shared" si="10"/>
        <v>462</v>
      </c>
      <c r="AR42" s="18">
        <f t="shared" si="11"/>
        <v>9.3073593073593072E-2</v>
      </c>
      <c r="AS42" s="34">
        <f t="shared" si="37"/>
        <v>495.66666666666669</v>
      </c>
      <c r="AT42" s="34">
        <f t="shared" si="38"/>
        <v>480</v>
      </c>
      <c r="AU42" s="34">
        <v>35</v>
      </c>
      <c r="AV42" s="34">
        <v>35</v>
      </c>
      <c r="AW42" s="34">
        <v>34</v>
      </c>
      <c r="AX42" s="34">
        <f t="shared" si="12"/>
        <v>35</v>
      </c>
      <c r="AY42" s="34">
        <f t="shared" si="13"/>
        <v>34.666666666666664</v>
      </c>
      <c r="AZ42" s="2">
        <f t="shared" si="14"/>
        <v>593.05420203969618</v>
      </c>
      <c r="BA42" s="2">
        <f t="shared" si="15"/>
        <v>516.7301210490923</v>
      </c>
      <c r="BB42" s="2">
        <f t="shared" si="16"/>
        <v>12.228480161398791</v>
      </c>
      <c r="BC42" s="2">
        <f t="shared" si="17"/>
        <v>64.095600829205083</v>
      </c>
      <c r="BD42" s="2">
        <f t="shared" si="39"/>
        <v>609.89349534543965</v>
      </c>
      <c r="BE42" s="2">
        <f t="shared" si="18"/>
        <v>535.6273854166667</v>
      </c>
      <c r="BF42" s="2">
        <f t="shared" si="19"/>
        <v>12.68125</v>
      </c>
      <c r="BG42" s="2">
        <f t="shared" si="20"/>
        <v>61.58485992877295</v>
      </c>
      <c r="BH42" s="2">
        <f t="shared" si="21"/>
        <v>523.18526962543933</v>
      </c>
      <c r="BI42" s="2">
        <f t="shared" si="22"/>
        <v>33.998544048419639</v>
      </c>
      <c r="BJ42" s="2">
        <f t="shared" si="23"/>
        <v>9.9829959650302627</v>
      </c>
      <c r="BK42" s="2">
        <f t="shared" si="24"/>
        <v>25.887392400806945</v>
      </c>
      <c r="BL42" s="2">
        <f t="shared" si="40"/>
        <v>538.99011860932853</v>
      </c>
      <c r="BM42" s="20">
        <f t="shared" si="25"/>
        <v>36.246104166666662</v>
      </c>
      <c r="BN42" s="20">
        <f t="shared" si="26"/>
        <v>10.35954861111111</v>
      </c>
      <c r="BO42" s="2">
        <f t="shared" si="27"/>
        <v>24.297723958333343</v>
      </c>
      <c r="BP42" s="18">
        <f t="shared" si="28"/>
        <v>0.87130336362494043</v>
      </c>
      <c r="BQ42" s="18">
        <f t="shared" si="29"/>
        <v>0.878231018209648</v>
      </c>
      <c r="BR42" s="18">
        <f t="shared" si="30"/>
        <v>5.7327886610512441E-2</v>
      </c>
      <c r="BS42" s="18">
        <f t="shared" si="31"/>
        <v>5.9430219281379787E-2</v>
      </c>
      <c r="BT42" s="29">
        <f>BD42/Kool!BJ42</f>
        <v>1.1286523558237913</v>
      </c>
      <c r="BU42" s="27">
        <v>14.36</v>
      </c>
      <c r="BV42" s="27">
        <v>14.47</v>
      </c>
      <c r="BW42" s="27">
        <f t="shared" si="32"/>
        <v>14.161904761904763</v>
      </c>
      <c r="BX42" s="27">
        <f t="shared" si="33"/>
        <v>13.846153846153847</v>
      </c>
      <c r="BY42" s="2">
        <v>1648.3118187849491</v>
      </c>
      <c r="BZ42" s="2">
        <v>1684.6456085350439</v>
      </c>
      <c r="CA42" s="2">
        <f>VLOOKUP(A42,'[1]kaugused autoga'!$A$3:$B$82,2,FALSE)</f>
        <v>1373.5</v>
      </c>
      <c r="CB42" s="29">
        <v>1.36</v>
      </c>
      <c r="CC42">
        <v>10432</v>
      </c>
      <c r="CD42" s="18">
        <v>0.98061853980681823</v>
      </c>
      <c r="CE42" t="s">
        <v>234</v>
      </c>
      <c r="CG42" s="27">
        <f t="shared" si="34"/>
        <v>13.846153846153847</v>
      </c>
      <c r="CH42" s="2">
        <f t="shared" si="35"/>
        <v>1684.6456085350439</v>
      </c>
      <c r="CI42" s="56">
        <f t="shared" si="36"/>
        <v>0.98061853980681823</v>
      </c>
    </row>
    <row r="43" spans="1:87" ht="14.25" customHeight="1" x14ac:dyDescent="0.35">
      <c r="A43" t="s">
        <v>94</v>
      </c>
      <c r="B43" s="10" t="s">
        <v>48</v>
      </c>
      <c r="C43" s="11">
        <v>56377.93</v>
      </c>
      <c r="D43" s="11">
        <v>3.2</v>
      </c>
      <c r="E43" s="11">
        <v>375512.45</v>
      </c>
      <c r="F43" s="11">
        <v>55695.61</v>
      </c>
      <c r="G43" s="11"/>
      <c r="H43" s="11">
        <v>1866853.06</v>
      </c>
      <c r="I43" s="11">
        <v>120987.8</v>
      </c>
      <c r="J43" s="11">
        <f>Kool!AY43</f>
        <v>43781.60383944153</v>
      </c>
      <c r="K43" s="12">
        <f t="shared" si="4"/>
        <v>2407820.4338394417</v>
      </c>
      <c r="L43" s="11">
        <v>58536.3</v>
      </c>
      <c r="M43" s="13"/>
      <c r="N43" s="11">
        <v>377446.79999999987</v>
      </c>
      <c r="O43" s="11">
        <v>68459</v>
      </c>
      <c r="P43" s="11"/>
      <c r="Q43" s="11">
        <v>1921847.71</v>
      </c>
      <c r="R43" s="11">
        <v>119489</v>
      </c>
      <c r="S43" s="11">
        <f>Kool!AZ43</f>
        <v>44623.87319544112</v>
      </c>
      <c r="T43" s="12">
        <f t="shared" si="5"/>
        <v>2453484.6831954406</v>
      </c>
      <c r="U43" s="11">
        <v>260239.64</v>
      </c>
      <c r="V43" s="11">
        <v>84052.76</v>
      </c>
      <c r="W43" s="11">
        <v>80102.95</v>
      </c>
      <c r="X43" s="11"/>
      <c r="Y43" s="11">
        <v>73606</v>
      </c>
      <c r="Z43" s="11">
        <v>93271</v>
      </c>
      <c r="AA43" s="11">
        <v>248482.88</v>
      </c>
      <c r="AB43" s="11">
        <v>77011.05</v>
      </c>
      <c r="AC43" s="11">
        <v>78424.75</v>
      </c>
      <c r="AD43" s="11"/>
      <c r="AE43" s="11">
        <v>75524</v>
      </c>
      <c r="AF43" s="11">
        <v>92219</v>
      </c>
      <c r="AG43" s="33">
        <v>267</v>
      </c>
      <c r="AH43" s="33">
        <v>104</v>
      </c>
      <c r="AI43" s="2">
        <f t="shared" si="6"/>
        <v>371</v>
      </c>
      <c r="AJ43" s="18">
        <f t="shared" si="7"/>
        <v>0.28032345013477089</v>
      </c>
      <c r="AK43" s="33">
        <v>241</v>
      </c>
      <c r="AL43" s="33">
        <v>114</v>
      </c>
      <c r="AM43" s="2">
        <f t="shared" si="8"/>
        <v>355</v>
      </c>
      <c r="AN43" s="18">
        <f t="shared" si="9"/>
        <v>0.3211267605633803</v>
      </c>
      <c r="AO43" s="2">
        <v>221</v>
      </c>
      <c r="AP43" s="2">
        <v>102</v>
      </c>
      <c r="AQ43" s="2">
        <f t="shared" si="10"/>
        <v>323</v>
      </c>
      <c r="AR43" s="18">
        <f t="shared" si="11"/>
        <v>0.31578947368421051</v>
      </c>
      <c r="AS43" s="34">
        <f t="shared" si="37"/>
        <v>365.66666666666669</v>
      </c>
      <c r="AT43" s="34">
        <f t="shared" si="38"/>
        <v>344.33333333333331</v>
      </c>
      <c r="AU43" s="34">
        <v>20</v>
      </c>
      <c r="AV43" s="34">
        <v>20</v>
      </c>
      <c r="AW43" s="34">
        <v>21</v>
      </c>
      <c r="AX43" s="34">
        <f t="shared" si="12"/>
        <v>20</v>
      </c>
      <c r="AY43" s="34">
        <f t="shared" si="13"/>
        <v>20.333333333333336</v>
      </c>
      <c r="AZ43" s="2">
        <f t="shared" si="14"/>
        <v>548.72844891509601</v>
      </c>
      <c r="BA43" s="2">
        <f t="shared" si="15"/>
        <v>425.44509115770279</v>
      </c>
      <c r="BB43" s="2">
        <f t="shared" si="16"/>
        <v>27.57242479489517</v>
      </c>
      <c r="BC43" s="2">
        <f t="shared" si="17"/>
        <v>95.710932962498049</v>
      </c>
      <c r="BD43" s="2">
        <f t="shared" si="39"/>
        <v>593.77654481980653</v>
      </c>
      <c r="BE43" s="2">
        <f t="shared" si="18"/>
        <v>465.11319215876091</v>
      </c>
      <c r="BF43" s="2">
        <f t="shared" si="19"/>
        <v>28.917957405614715</v>
      </c>
      <c r="BG43" s="2">
        <f t="shared" si="20"/>
        <v>99.745395255430907</v>
      </c>
      <c r="BH43" s="2">
        <f t="shared" si="21"/>
        <v>468.1654042478217</v>
      </c>
      <c r="BI43" s="2">
        <f t="shared" si="22"/>
        <v>37.410143573381951</v>
      </c>
      <c r="BJ43" s="2">
        <f t="shared" si="23"/>
        <v>16.774384685505925</v>
      </c>
      <c r="BK43" s="2">
        <f t="shared" si="24"/>
        <v>26.378516408386435</v>
      </c>
      <c r="BL43" s="2">
        <f t="shared" si="40"/>
        <v>511.32207240935162</v>
      </c>
      <c r="BM43" s="20">
        <f t="shared" si="25"/>
        <v>37.617570183930297</v>
      </c>
      <c r="BN43" s="20">
        <f t="shared" si="26"/>
        <v>18.277831558567282</v>
      </c>
      <c r="BO43" s="2">
        <f t="shared" si="27"/>
        <v>26.559070667957332</v>
      </c>
      <c r="BP43" s="18">
        <f t="shared" si="28"/>
        <v>0.77532902111939039</v>
      </c>
      <c r="BQ43" s="18">
        <f t="shared" si="29"/>
        <v>0.78331351451396403</v>
      </c>
      <c r="BR43" s="18">
        <f t="shared" si="30"/>
        <v>6.8176059847719628E-2</v>
      </c>
      <c r="BS43" s="18">
        <f t="shared" si="31"/>
        <v>6.3353075348144827E-2</v>
      </c>
      <c r="BT43" s="29">
        <f>BD43/Kool!BJ43</f>
        <v>1.0295196307502879</v>
      </c>
      <c r="BU43" s="27">
        <v>17.75</v>
      </c>
      <c r="BV43" s="27">
        <v>15.38</v>
      </c>
      <c r="BW43" s="27">
        <f t="shared" si="32"/>
        <v>18.283333333333335</v>
      </c>
      <c r="BX43" s="27">
        <f t="shared" si="33"/>
        <v>16.934426229508194</v>
      </c>
      <c r="BY43" s="2">
        <v>1747.646442780248</v>
      </c>
      <c r="BZ43" s="2">
        <v>1653.64201796821</v>
      </c>
      <c r="CA43" s="2">
        <f>VLOOKUP(A43,'[1]kaugused autoga'!$A$3:$B$82,2,FALSE)</f>
        <v>3064.3</v>
      </c>
      <c r="CB43" s="29">
        <v>1.88</v>
      </c>
      <c r="CC43">
        <v>6713</v>
      </c>
      <c r="CD43" s="18">
        <v>0.98431415785057397</v>
      </c>
      <c r="CE43" t="s">
        <v>234</v>
      </c>
      <c r="CG43" s="27">
        <f t="shared" si="34"/>
        <v>16.934426229508194</v>
      </c>
      <c r="CH43" s="2">
        <f t="shared" si="35"/>
        <v>1653.64201796821</v>
      </c>
      <c r="CI43" s="56">
        <f t="shared" si="36"/>
        <v>0.98431415785057397</v>
      </c>
    </row>
    <row r="44" spans="1:87" ht="14.25" customHeight="1" x14ac:dyDescent="0.35">
      <c r="A44" t="s">
        <v>93</v>
      </c>
      <c r="B44" s="10" t="s">
        <v>49</v>
      </c>
      <c r="C44" s="11">
        <v>27769.16</v>
      </c>
      <c r="D44" s="13"/>
      <c r="E44" s="14">
        <f>167831.94+W44</f>
        <v>217463.09285764376</v>
      </c>
      <c r="F44" s="11">
        <v>30336.99</v>
      </c>
      <c r="G44" s="11"/>
      <c r="H44" s="11">
        <v>1070043.5</v>
      </c>
      <c r="I44" s="11">
        <v>74716.42</v>
      </c>
      <c r="J44" s="11">
        <f>Kool!AY44</f>
        <v>0</v>
      </c>
      <c r="K44" s="12">
        <f t="shared" si="4"/>
        <v>1359655.1828576438</v>
      </c>
      <c r="L44" s="11">
        <v>27724.28</v>
      </c>
      <c r="M44" s="13"/>
      <c r="N44" s="14">
        <f>152216.86+AC44</f>
        <v>234245.46</v>
      </c>
      <c r="O44" s="11">
        <v>24553.87</v>
      </c>
      <c r="P44" s="11"/>
      <c r="Q44" s="11">
        <v>1035611.6</v>
      </c>
      <c r="R44" s="11">
        <v>73449.19</v>
      </c>
      <c r="S44" s="11">
        <f>Kool!AZ44</f>
        <v>0</v>
      </c>
      <c r="T44" s="12">
        <f t="shared" si="5"/>
        <v>1346476.66</v>
      </c>
      <c r="U44" s="14">
        <f>158606.57+W44</f>
        <v>208237.72285764376</v>
      </c>
      <c r="V44" s="11">
        <v>71309.430000000008</v>
      </c>
      <c r="W44" s="14">
        <f>W$84*AS44</f>
        <v>49631.152857643763</v>
      </c>
      <c r="X44" s="11"/>
      <c r="Y44" s="11">
        <v>56525</v>
      </c>
      <c r="Z44" s="11">
        <v>96419</v>
      </c>
      <c r="AA44" s="14">
        <f>133191.69+AC44</f>
        <v>215220.29</v>
      </c>
      <c r="AB44" s="11">
        <v>67440</v>
      </c>
      <c r="AC44" s="14">
        <v>82028.600000000006</v>
      </c>
      <c r="AD44" s="11"/>
      <c r="AE44" s="11">
        <v>57268.5</v>
      </c>
      <c r="AF44" s="11">
        <v>95856</v>
      </c>
      <c r="AG44" s="33">
        <v>221</v>
      </c>
      <c r="AH44" s="33">
        <v>0</v>
      </c>
      <c r="AI44" s="2">
        <f t="shared" si="6"/>
        <v>221</v>
      </c>
      <c r="AJ44" s="18">
        <f t="shared" si="7"/>
        <v>0</v>
      </c>
      <c r="AK44" s="33">
        <v>213</v>
      </c>
      <c r="AL44" s="33">
        <v>0</v>
      </c>
      <c r="AM44" s="2">
        <f t="shared" si="8"/>
        <v>213</v>
      </c>
      <c r="AN44" s="18">
        <f t="shared" si="9"/>
        <v>0</v>
      </c>
      <c r="AO44" s="2">
        <v>198</v>
      </c>
      <c r="AP44" s="2">
        <v>0</v>
      </c>
      <c r="AQ44" s="2">
        <f t="shared" si="10"/>
        <v>198</v>
      </c>
      <c r="AR44" s="18">
        <f t="shared" si="11"/>
        <v>0</v>
      </c>
      <c r="AS44" s="34">
        <f t="shared" si="37"/>
        <v>218.33333333333334</v>
      </c>
      <c r="AT44" s="34">
        <f t="shared" si="38"/>
        <v>208</v>
      </c>
      <c r="AU44" s="34">
        <v>15</v>
      </c>
      <c r="AV44" s="34">
        <v>14</v>
      </c>
      <c r="AW44" s="34">
        <v>14</v>
      </c>
      <c r="AX44" s="34">
        <f t="shared" si="12"/>
        <v>14.666666666666668</v>
      </c>
      <c r="AY44" s="34">
        <f t="shared" si="13"/>
        <v>14</v>
      </c>
      <c r="AZ44" s="2">
        <f t="shared" si="14"/>
        <v>518.95235986932971</v>
      </c>
      <c r="BA44" s="2">
        <f t="shared" si="15"/>
        <v>408.41354961832059</v>
      </c>
      <c r="BB44" s="2">
        <f t="shared" si="16"/>
        <v>28.51771755725191</v>
      </c>
      <c r="BC44" s="2">
        <f t="shared" si="17"/>
        <v>82.021092693757211</v>
      </c>
      <c r="BD44" s="2">
        <f t="shared" si="39"/>
        <v>539.45379006410246</v>
      </c>
      <c r="BE44" s="2">
        <f t="shared" si="18"/>
        <v>414.90849358974356</v>
      </c>
      <c r="BF44" s="2">
        <f t="shared" si="19"/>
        <v>29.426758814102566</v>
      </c>
      <c r="BG44" s="2">
        <f t="shared" si="20"/>
        <v>95.118537660256337</v>
      </c>
      <c r="BH44" s="2">
        <f t="shared" si="21"/>
        <v>402.67116793893132</v>
      </c>
      <c r="BI44" s="2">
        <f t="shared" si="22"/>
        <v>46.16052780826098</v>
      </c>
      <c r="BJ44" s="2">
        <f t="shared" si="23"/>
        <v>21.574427480916029</v>
      </c>
      <c r="BK44" s="2">
        <f t="shared" si="24"/>
        <v>48.546236641221384</v>
      </c>
      <c r="BL44" s="2">
        <f t="shared" si="40"/>
        <v>414.82386618589743</v>
      </c>
      <c r="BM44" s="20">
        <f t="shared" si="25"/>
        <v>59.883253205128206</v>
      </c>
      <c r="BN44" s="20">
        <f t="shared" si="26"/>
        <v>22.944110576923077</v>
      </c>
      <c r="BO44" s="2">
        <f t="shared" si="27"/>
        <v>41.802560096153755</v>
      </c>
      <c r="BP44" s="18">
        <f t="shared" si="28"/>
        <v>0.78699622778699307</v>
      </c>
      <c r="BQ44" s="18">
        <f t="shared" si="29"/>
        <v>0.76912703410692618</v>
      </c>
      <c r="BR44" s="18">
        <f t="shared" si="30"/>
        <v>8.8949451583347716E-2</v>
      </c>
      <c r="BS44" s="18">
        <f t="shared" si="31"/>
        <v>0.11100719710952883</v>
      </c>
      <c r="BT44" s="29">
        <f>BD44/Kool!BJ44</f>
        <v>0.88943219850640132</v>
      </c>
      <c r="BU44" s="27">
        <v>15.07</v>
      </c>
      <c r="BV44" s="27">
        <v>14.77</v>
      </c>
      <c r="BW44" s="27">
        <f t="shared" si="32"/>
        <v>14.886363636363637</v>
      </c>
      <c r="BX44" s="27">
        <f t="shared" si="33"/>
        <v>14.857142857142858</v>
      </c>
      <c r="BY44" s="2">
        <v>1658.7173413723799</v>
      </c>
      <c r="BZ44" s="2">
        <v>1713.773564814815</v>
      </c>
      <c r="CA44" s="2">
        <f>VLOOKUP(A44,'[1]kaugused autoga'!$A$3:$B$82,2,FALSE)</f>
        <v>1389.2</v>
      </c>
      <c r="CB44" s="29">
        <v>1.7</v>
      </c>
      <c r="CC44">
        <v>5536</v>
      </c>
      <c r="CD44" s="18">
        <v>1.0000711644714353</v>
      </c>
      <c r="CE44" t="s">
        <v>234</v>
      </c>
      <c r="CG44" s="27">
        <f t="shared" si="34"/>
        <v>14.857142857142858</v>
      </c>
      <c r="CH44" s="2">
        <f t="shared" si="35"/>
        <v>1713.773564814815</v>
      </c>
      <c r="CI44" s="56">
        <f t="shared" si="36"/>
        <v>1.0000711644714353</v>
      </c>
    </row>
    <row r="45" spans="1:87" ht="14.25" customHeight="1" x14ac:dyDescent="0.35">
      <c r="A45" t="s">
        <v>91</v>
      </c>
      <c r="B45" s="10" t="s">
        <v>50</v>
      </c>
      <c r="C45" s="11">
        <v>34309.65</v>
      </c>
      <c r="D45" s="11">
        <v>2055.41</v>
      </c>
      <c r="E45" s="11">
        <v>198722.72</v>
      </c>
      <c r="F45" s="11">
        <v>3693.38</v>
      </c>
      <c r="G45" s="11">
        <v>4000</v>
      </c>
      <c r="H45" s="11">
        <v>1359936.18</v>
      </c>
      <c r="I45" s="11">
        <v>72375.770000000019</v>
      </c>
      <c r="J45" s="11">
        <f>Kool!AY45</f>
        <v>24188.162552695478</v>
      </c>
      <c r="K45" s="12">
        <f t="shared" si="4"/>
        <v>1687894.5125526953</v>
      </c>
      <c r="L45" s="11">
        <v>42686.35</v>
      </c>
      <c r="M45" s="11">
        <v>2012.61</v>
      </c>
      <c r="N45" s="11">
        <v>241490.22000000009</v>
      </c>
      <c r="O45" s="11">
        <v>2116</v>
      </c>
      <c r="P45" s="11">
        <v>0</v>
      </c>
      <c r="Q45" s="11">
        <v>1470103.15</v>
      </c>
      <c r="R45" s="11">
        <v>161157.67000000001</v>
      </c>
      <c r="S45" s="11">
        <f>Kool!AZ45</f>
        <v>21346.283215596326</v>
      </c>
      <c r="T45" s="12">
        <f t="shared" si="5"/>
        <v>1936680.2832155963</v>
      </c>
      <c r="U45" s="11">
        <v>150201.21</v>
      </c>
      <c r="V45" s="11">
        <v>55069.01</v>
      </c>
      <c r="W45" s="11">
        <v>48563.7</v>
      </c>
      <c r="X45" s="11"/>
      <c r="Y45" s="11">
        <v>40966</v>
      </c>
      <c r="Z45" s="11">
        <v>104507</v>
      </c>
      <c r="AA45" s="11">
        <v>224434.87</v>
      </c>
      <c r="AB45" s="11">
        <v>122894.85</v>
      </c>
      <c r="AC45" s="11">
        <v>65036.5</v>
      </c>
      <c r="AD45" s="11"/>
      <c r="AE45" s="11">
        <v>34533</v>
      </c>
      <c r="AF45" s="11">
        <v>101956</v>
      </c>
      <c r="AG45" s="33">
        <v>235</v>
      </c>
      <c r="AH45" s="33">
        <v>63</v>
      </c>
      <c r="AI45" s="2">
        <f t="shared" si="6"/>
        <v>298</v>
      </c>
      <c r="AJ45" s="18">
        <f t="shared" si="7"/>
        <v>0.21140939597315436</v>
      </c>
      <c r="AK45" s="33">
        <v>203</v>
      </c>
      <c r="AL45" s="33">
        <v>64</v>
      </c>
      <c r="AM45" s="2">
        <f t="shared" si="8"/>
        <v>267</v>
      </c>
      <c r="AN45" s="18">
        <f t="shared" si="9"/>
        <v>0.23970037453183521</v>
      </c>
      <c r="AO45" s="2">
        <v>220</v>
      </c>
      <c r="AP45" s="2">
        <v>57</v>
      </c>
      <c r="AQ45" s="2">
        <f t="shared" si="10"/>
        <v>277</v>
      </c>
      <c r="AR45" s="18">
        <f t="shared" si="11"/>
        <v>0.20577617328519857</v>
      </c>
      <c r="AS45" s="34">
        <f t="shared" si="37"/>
        <v>287.66666666666663</v>
      </c>
      <c r="AT45" s="34">
        <f t="shared" si="38"/>
        <v>270.33333333333331</v>
      </c>
      <c r="AU45" s="34">
        <v>17</v>
      </c>
      <c r="AV45" s="34">
        <v>18</v>
      </c>
      <c r="AW45" s="34">
        <v>19</v>
      </c>
      <c r="AX45" s="34">
        <f t="shared" si="12"/>
        <v>17.333333333333336</v>
      </c>
      <c r="AY45" s="34">
        <f t="shared" si="13"/>
        <v>18.333333333333332</v>
      </c>
      <c r="AZ45" s="2">
        <f t="shared" si="14"/>
        <v>488.96133040344603</v>
      </c>
      <c r="BA45" s="2">
        <f t="shared" si="15"/>
        <v>393.95601969872541</v>
      </c>
      <c r="BB45" s="2">
        <f t="shared" si="16"/>
        <v>22.125078215527239</v>
      </c>
      <c r="BC45" s="2">
        <f t="shared" si="17"/>
        <v>72.880232489193375</v>
      </c>
      <c r="BD45" s="2">
        <f t="shared" si="39"/>
        <v>597.00378644130592</v>
      </c>
      <c r="BE45" s="2">
        <f t="shared" si="18"/>
        <v>453.17606350184957</v>
      </c>
      <c r="BF45" s="2">
        <f t="shared" si="19"/>
        <v>49.678689889025897</v>
      </c>
      <c r="BG45" s="2">
        <f t="shared" si="20"/>
        <v>94.149033050430461</v>
      </c>
      <c r="BH45" s="2">
        <f t="shared" si="21"/>
        <v>415.17563805118647</v>
      </c>
      <c r="BI45" s="2">
        <f t="shared" si="22"/>
        <v>30.02106315179606</v>
      </c>
      <c r="BJ45" s="2">
        <f t="shared" si="23"/>
        <v>11.867323290845889</v>
      </c>
      <c r="BK45" s="2">
        <f t="shared" si="24"/>
        <v>31.897305909617614</v>
      </c>
      <c r="BL45" s="2">
        <f t="shared" si="40"/>
        <v>496.39007805659566</v>
      </c>
      <c r="BM45" s="20">
        <f t="shared" si="25"/>
        <v>57.931982120838477</v>
      </c>
      <c r="BN45" s="20">
        <f t="shared" si="26"/>
        <v>10.645191122071518</v>
      </c>
      <c r="BO45" s="2">
        <f t="shared" si="27"/>
        <v>32.036535141800272</v>
      </c>
      <c r="BP45" s="18">
        <f t="shared" si="28"/>
        <v>0.80569974597719018</v>
      </c>
      <c r="BQ45" s="18">
        <f t="shared" si="29"/>
        <v>0.75908406913664239</v>
      </c>
      <c r="BR45" s="18">
        <f t="shared" si="30"/>
        <v>6.1397622439846998E-2</v>
      </c>
      <c r="BS45" s="18">
        <f t="shared" si="31"/>
        <v>9.7037880557117748E-2</v>
      </c>
      <c r="BT45" s="29">
        <f>BD45/Kool!BJ45</f>
        <v>1.0733278464113158</v>
      </c>
      <c r="BU45" s="27">
        <v>14.83</v>
      </c>
      <c r="BV45" s="27">
        <v>14.58</v>
      </c>
      <c r="BW45" s="27">
        <f t="shared" si="32"/>
        <v>16.596153846153843</v>
      </c>
      <c r="BX45" s="27">
        <f t="shared" si="33"/>
        <v>14.745454545454546</v>
      </c>
      <c r="BY45" s="2">
        <v>1653.285901292335</v>
      </c>
      <c r="BZ45" s="2">
        <v>1610.7405989583331</v>
      </c>
      <c r="CA45" s="2">
        <f>VLOOKUP(A45,'[1]kaugused autoga'!$A$3:$B$82,2,FALSE)</f>
        <v>2889</v>
      </c>
      <c r="CB45" s="29">
        <v>1.98</v>
      </c>
      <c r="CC45">
        <v>5530</v>
      </c>
      <c r="CD45" s="18">
        <v>0.98390271376643323</v>
      </c>
      <c r="CE45" t="s">
        <v>234</v>
      </c>
      <c r="CG45" s="27">
        <f t="shared" si="34"/>
        <v>14.745454545454546</v>
      </c>
      <c r="CH45" s="2">
        <f t="shared" si="35"/>
        <v>1610.7405989583331</v>
      </c>
      <c r="CI45" s="56">
        <f t="shared" si="36"/>
        <v>0.98390271376643323</v>
      </c>
    </row>
    <row r="46" spans="1:87" ht="14.25" customHeight="1" x14ac:dyDescent="0.35">
      <c r="A46" t="s">
        <v>157</v>
      </c>
      <c r="B46" s="10" t="s">
        <v>51</v>
      </c>
      <c r="C46" s="11">
        <v>34650.53</v>
      </c>
      <c r="D46" s="11">
        <v>4522.83</v>
      </c>
      <c r="E46" s="11">
        <v>401652.36</v>
      </c>
      <c r="F46" s="11">
        <v>161997.01999999999</v>
      </c>
      <c r="G46" s="11"/>
      <c r="H46" s="11">
        <v>1349795.97</v>
      </c>
      <c r="I46" s="11">
        <v>67606.319999999992</v>
      </c>
      <c r="J46" s="11">
        <f>Kool!AY46</f>
        <v>0</v>
      </c>
      <c r="K46" s="12">
        <f t="shared" si="4"/>
        <v>1696230.99</v>
      </c>
      <c r="L46" s="11">
        <v>35037.97</v>
      </c>
      <c r="M46" s="11">
        <v>1366.39</v>
      </c>
      <c r="N46" s="11">
        <v>446490.60999999993</v>
      </c>
      <c r="O46" s="11">
        <v>201526.45</v>
      </c>
      <c r="P46" s="11"/>
      <c r="Q46" s="11">
        <v>1403547.59</v>
      </c>
      <c r="R46" s="11">
        <v>76586.239999999991</v>
      </c>
      <c r="S46" s="11">
        <f>Kool!AZ46</f>
        <v>0</v>
      </c>
      <c r="T46" s="12">
        <f t="shared" si="5"/>
        <v>1761502.3499999999</v>
      </c>
      <c r="U46" s="11">
        <v>241032.35</v>
      </c>
      <c r="V46" s="11">
        <v>80942.179999999993</v>
      </c>
      <c r="W46" s="11">
        <v>71548.17</v>
      </c>
      <c r="X46" s="11"/>
      <c r="Y46" s="11">
        <v>74418</v>
      </c>
      <c r="Z46" s="11">
        <v>49264</v>
      </c>
      <c r="AA46" s="11">
        <v>267133.65999999997</v>
      </c>
      <c r="AB46" s="11">
        <v>80575.78</v>
      </c>
      <c r="AC46" s="11">
        <v>76325.450000000012</v>
      </c>
      <c r="AD46" s="11"/>
      <c r="AE46" s="11">
        <v>106915</v>
      </c>
      <c r="AF46" s="11">
        <v>47489</v>
      </c>
      <c r="AG46" s="33">
        <v>181</v>
      </c>
      <c r="AH46" s="33">
        <v>29</v>
      </c>
      <c r="AI46" s="2">
        <f t="shared" si="6"/>
        <v>210</v>
      </c>
      <c r="AJ46" s="18">
        <f t="shared" si="7"/>
        <v>0.1380952380952381</v>
      </c>
      <c r="AK46" s="33">
        <v>171</v>
      </c>
      <c r="AL46" s="33">
        <v>23</v>
      </c>
      <c r="AM46" s="2">
        <f t="shared" si="8"/>
        <v>194</v>
      </c>
      <c r="AN46" s="18">
        <f t="shared" si="9"/>
        <v>0.11855670103092783</v>
      </c>
      <c r="AO46" s="2">
        <v>158</v>
      </c>
      <c r="AP46" s="2">
        <v>25</v>
      </c>
      <c r="AQ46" s="2">
        <f t="shared" si="10"/>
        <v>183</v>
      </c>
      <c r="AR46" s="18">
        <f t="shared" si="11"/>
        <v>0.13661202185792351</v>
      </c>
      <c r="AS46" s="34">
        <f t="shared" si="37"/>
        <v>204.66666666666669</v>
      </c>
      <c r="AT46" s="34">
        <f t="shared" si="38"/>
        <v>190.33333333333334</v>
      </c>
      <c r="AU46" s="34">
        <v>14</v>
      </c>
      <c r="AV46" s="34">
        <v>14</v>
      </c>
      <c r="AW46" s="34">
        <v>14</v>
      </c>
      <c r="AX46" s="34">
        <f t="shared" si="12"/>
        <v>14</v>
      </c>
      <c r="AY46" s="34">
        <f t="shared" si="13"/>
        <v>14</v>
      </c>
      <c r="AZ46" s="2">
        <f t="shared" si="14"/>
        <v>690.64779723127037</v>
      </c>
      <c r="BA46" s="2">
        <f t="shared" si="15"/>
        <v>549.59119299674262</v>
      </c>
      <c r="BB46" s="2">
        <f t="shared" si="16"/>
        <v>27.527003257328985</v>
      </c>
      <c r="BC46" s="2">
        <f t="shared" si="17"/>
        <v>113.52960097719877</v>
      </c>
      <c r="BD46" s="2">
        <f t="shared" si="39"/>
        <v>771.23570490367763</v>
      </c>
      <c r="BE46" s="2">
        <f t="shared" si="18"/>
        <v>614.5129553415062</v>
      </c>
      <c r="BF46" s="2">
        <f t="shared" si="19"/>
        <v>33.531628721541146</v>
      </c>
      <c r="BG46" s="2">
        <f t="shared" si="20"/>
        <v>123.19112084063028</v>
      </c>
      <c r="BH46" s="2">
        <f t="shared" si="21"/>
        <v>572.44895765472302</v>
      </c>
      <c r="BI46" s="2">
        <f t="shared" si="22"/>
        <v>62.088904723127023</v>
      </c>
      <c r="BJ46" s="2">
        <f t="shared" si="23"/>
        <v>30.30048859934853</v>
      </c>
      <c r="BK46" s="2">
        <f t="shared" si="24"/>
        <v>25.809446254071805</v>
      </c>
      <c r="BL46" s="2">
        <f t="shared" si="40"/>
        <v>633.48497810858134</v>
      </c>
      <c r="BM46" s="20">
        <f t="shared" si="25"/>
        <v>68.695809982486864</v>
      </c>
      <c r="BN46" s="20">
        <f t="shared" si="26"/>
        <v>46.810420315236428</v>
      </c>
      <c r="BO46" s="2">
        <f t="shared" si="27"/>
        <v>22.244496497372992</v>
      </c>
      <c r="BP46" s="18">
        <f t="shared" si="28"/>
        <v>0.79576188500128742</v>
      </c>
      <c r="BQ46" s="18">
        <f t="shared" si="29"/>
        <v>0.79679007524457768</v>
      </c>
      <c r="BR46" s="18">
        <f t="shared" si="30"/>
        <v>8.9899518932854749E-2</v>
      </c>
      <c r="BS46" s="18">
        <f t="shared" si="31"/>
        <v>8.9072393232969588E-2</v>
      </c>
      <c r="BT46" s="29">
        <f>BD46/Kool!BJ46</f>
        <v>1.2725919221389357</v>
      </c>
      <c r="BU46" s="27">
        <v>13.79</v>
      </c>
      <c r="BV46" s="27">
        <v>13.07</v>
      </c>
      <c r="BW46" s="27">
        <f t="shared" si="32"/>
        <v>14.61904761904762</v>
      </c>
      <c r="BX46" s="27">
        <f t="shared" si="33"/>
        <v>13.595238095238097</v>
      </c>
      <c r="BY46" s="2">
        <v>1772.1583193277311</v>
      </c>
      <c r="BZ46" s="2">
        <v>1738.0902359882009</v>
      </c>
      <c r="CA46" s="2">
        <f>VLOOKUP(A46,'[1]kaugused autoga'!$A$3:$B$82,2,FALSE)</f>
        <v>4159.6000000000004</v>
      </c>
      <c r="CB46" s="29">
        <v>2.02</v>
      </c>
      <c r="CC46">
        <v>4976</v>
      </c>
      <c r="CD46" s="18">
        <v>1.0012744868529049</v>
      </c>
      <c r="CE46" t="s">
        <v>234</v>
      </c>
      <c r="CG46" s="27">
        <f t="shared" si="34"/>
        <v>13.595238095238097</v>
      </c>
      <c r="CH46" s="2">
        <f t="shared" si="35"/>
        <v>1738.0902359882009</v>
      </c>
      <c r="CI46" s="56">
        <f t="shared" si="36"/>
        <v>1.0012744868529049</v>
      </c>
    </row>
    <row r="47" spans="1:87" ht="14.25" customHeight="1" x14ac:dyDescent="0.35">
      <c r="A47" t="s">
        <v>146</v>
      </c>
      <c r="B47" s="10" t="s">
        <v>52</v>
      </c>
      <c r="C47" s="11">
        <v>324.08</v>
      </c>
      <c r="D47" s="13"/>
      <c r="E47" s="11">
        <v>13411.98</v>
      </c>
      <c r="F47" s="11">
        <v>1008.44</v>
      </c>
      <c r="G47" s="11"/>
      <c r="H47" s="11">
        <v>75807.649999999994</v>
      </c>
      <c r="J47" s="11">
        <f>Kool!AY47</f>
        <v>0</v>
      </c>
      <c r="K47" s="12">
        <f t="shared" si="4"/>
        <v>88535.26999999999</v>
      </c>
      <c r="L47" s="11">
        <v>477.23</v>
      </c>
      <c r="M47" s="13"/>
      <c r="N47" s="11">
        <v>11531.91</v>
      </c>
      <c r="O47" s="11">
        <v>9100.75</v>
      </c>
      <c r="P47" s="11"/>
      <c r="Q47" s="11">
        <v>77169.8</v>
      </c>
      <c r="S47" s="11">
        <f>Kool!AZ47</f>
        <v>0</v>
      </c>
      <c r="T47" s="12">
        <f t="shared" si="5"/>
        <v>80078.19</v>
      </c>
      <c r="U47" s="11">
        <v>10060.6</v>
      </c>
      <c r="V47" s="11">
        <v>4181.6000000000004</v>
      </c>
      <c r="W47" s="11"/>
      <c r="X47" s="11"/>
      <c r="Y47" s="11">
        <v>5830</v>
      </c>
      <c r="Z47" s="11">
        <v>4368</v>
      </c>
      <c r="AA47" s="11">
        <v>4611.5300000000007</v>
      </c>
      <c r="AB47" s="11">
        <v>3987.53</v>
      </c>
      <c r="AC47" s="11"/>
      <c r="AD47" s="11"/>
      <c r="AE47" s="11">
        <v>624</v>
      </c>
      <c r="AF47" s="11">
        <v>4807</v>
      </c>
      <c r="AG47" s="33">
        <v>0</v>
      </c>
      <c r="AH47" s="33">
        <v>15</v>
      </c>
      <c r="AI47" s="2">
        <f t="shared" si="6"/>
        <v>15</v>
      </c>
      <c r="AJ47" s="18">
        <f t="shared" si="7"/>
        <v>1</v>
      </c>
      <c r="AK47" s="33">
        <v>0</v>
      </c>
      <c r="AL47" s="33">
        <v>15</v>
      </c>
      <c r="AM47" s="2">
        <f t="shared" si="8"/>
        <v>15</v>
      </c>
      <c r="AN47" s="18">
        <f t="shared" si="9"/>
        <v>1</v>
      </c>
      <c r="AO47" s="2">
        <v>0</v>
      </c>
      <c r="AP47" s="2">
        <v>14</v>
      </c>
      <c r="AQ47" s="2">
        <f t="shared" si="10"/>
        <v>14</v>
      </c>
      <c r="AR47" s="18">
        <f t="shared" si="11"/>
        <v>1</v>
      </c>
      <c r="AS47" s="34">
        <f t="shared" si="37"/>
        <v>15</v>
      </c>
      <c r="AT47" s="34">
        <f t="shared" si="38"/>
        <v>14.666666666666668</v>
      </c>
      <c r="AU47" s="34">
        <v>1</v>
      </c>
      <c r="AV47" s="34">
        <v>1</v>
      </c>
      <c r="AW47" s="34">
        <v>1</v>
      </c>
      <c r="AX47" s="34">
        <f t="shared" si="12"/>
        <v>1</v>
      </c>
      <c r="AY47" s="34">
        <f t="shared" si="13"/>
        <v>1</v>
      </c>
      <c r="AZ47" s="2">
        <f t="shared" si="14"/>
        <v>491.86261111111111</v>
      </c>
      <c r="BA47" s="2">
        <f t="shared" si="15"/>
        <v>421.1536111111111</v>
      </c>
      <c r="BB47" s="2">
        <f t="shared" si="16"/>
        <v>0</v>
      </c>
      <c r="BC47" s="2">
        <f t="shared" si="17"/>
        <v>70.709000000000003</v>
      </c>
      <c r="BD47" s="2">
        <f t="shared" si="39"/>
        <v>454.98971590909088</v>
      </c>
      <c r="BE47" s="2">
        <f t="shared" si="18"/>
        <v>438.4647727272727</v>
      </c>
      <c r="BF47" s="2">
        <f t="shared" si="19"/>
        <v>0</v>
      </c>
      <c r="BG47" s="2">
        <f t="shared" si="20"/>
        <v>16.524943181818173</v>
      </c>
      <c r="BH47" s="2">
        <f t="shared" si="21"/>
        <v>411.7037222222221</v>
      </c>
      <c r="BI47" s="2">
        <f t="shared" si="22"/>
        <v>23.231111111111115</v>
      </c>
      <c r="BJ47" s="2">
        <f t="shared" si="23"/>
        <v>32.388888888888893</v>
      </c>
      <c r="BK47" s="2">
        <f t="shared" si="24"/>
        <v>24.538888888888998</v>
      </c>
      <c r="BL47" s="2">
        <f t="shared" si="40"/>
        <v>401.4753409090909</v>
      </c>
      <c r="BM47" s="20">
        <f t="shared" si="25"/>
        <v>22.656420454545454</v>
      </c>
      <c r="BN47" s="20">
        <f t="shared" si="26"/>
        <v>3.545454545454545</v>
      </c>
      <c r="BO47" s="2">
        <f t="shared" si="27"/>
        <v>27.312499999999972</v>
      </c>
      <c r="BP47" s="18">
        <f t="shared" si="28"/>
        <v>0.85624237662572211</v>
      </c>
      <c r="BQ47" s="18">
        <f t="shared" si="29"/>
        <v>0.96368062265143606</v>
      </c>
      <c r="BR47" s="18">
        <f t="shared" si="30"/>
        <v>4.7230894535025429E-2</v>
      </c>
      <c r="BS47" s="18">
        <f t="shared" si="31"/>
        <v>4.9795456166029733E-2</v>
      </c>
      <c r="BT47" s="29">
        <f>BD47/Kool!BJ47</f>
        <v>0.41252834338870359</v>
      </c>
      <c r="BU47" s="27">
        <v>15</v>
      </c>
      <c r="BV47" s="27">
        <v>14</v>
      </c>
      <c r="BW47" s="27">
        <f t="shared" si="32"/>
        <v>15</v>
      </c>
      <c r="BX47" s="27">
        <f t="shared" si="33"/>
        <v>14.666666666666668</v>
      </c>
      <c r="BY47" s="2">
        <v>1616.222094801223</v>
      </c>
      <c r="BZ47" s="2">
        <v>1636.5988095238099</v>
      </c>
      <c r="CA47" s="2">
        <f>VLOOKUP(A47,'[1]kaugused autoga'!$A$3:$B$82,2,FALSE)</f>
        <v>1586.6</v>
      </c>
      <c r="CB47" s="29">
        <v>2.1</v>
      </c>
      <c r="CC47">
        <v>671</v>
      </c>
      <c r="CD47" s="18">
        <v>1.0110531529257234</v>
      </c>
      <c r="CE47" t="s">
        <v>233</v>
      </c>
      <c r="CG47" s="27">
        <f t="shared" si="34"/>
        <v>14.666666666666668</v>
      </c>
      <c r="CH47" s="2">
        <f t="shared" si="35"/>
        <v>1636.5988095238099</v>
      </c>
      <c r="CI47" s="56">
        <f t="shared" si="36"/>
        <v>1.0110531529257234</v>
      </c>
    </row>
    <row r="48" spans="1:87" ht="14.25" customHeight="1" x14ac:dyDescent="0.35">
      <c r="A48" t="s">
        <v>111</v>
      </c>
      <c r="B48" s="10" t="s">
        <v>53</v>
      </c>
      <c r="C48" s="11">
        <v>25012.15</v>
      </c>
      <c r="D48" s="13"/>
      <c r="E48" s="11">
        <v>166194.31</v>
      </c>
      <c r="F48" s="11">
        <v>41664</v>
      </c>
      <c r="G48" s="11"/>
      <c r="H48" s="11">
        <v>912135.71000000008</v>
      </c>
      <c r="I48" s="11">
        <v>17214.099999999999</v>
      </c>
      <c r="J48" s="11">
        <f>Kool!AY48</f>
        <v>0</v>
      </c>
      <c r="K48" s="12">
        <f t="shared" si="4"/>
        <v>1078892.2700000003</v>
      </c>
      <c r="L48" s="11">
        <v>30578</v>
      </c>
      <c r="M48" s="11">
        <v>156.94</v>
      </c>
      <c r="N48" s="11">
        <v>167097.67000000001</v>
      </c>
      <c r="O48" s="11">
        <v>24601</v>
      </c>
      <c r="P48" s="11"/>
      <c r="Q48" s="11">
        <v>928658.43000000017</v>
      </c>
      <c r="R48" s="11">
        <v>17214.099999999999</v>
      </c>
      <c r="S48" s="11">
        <f>Kool!AZ48</f>
        <v>0</v>
      </c>
      <c r="T48" s="12">
        <f t="shared" si="5"/>
        <v>1119104.1400000004</v>
      </c>
      <c r="U48" s="11">
        <v>172372.02</v>
      </c>
      <c r="V48" s="11">
        <v>65376.6</v>
      </c>
      <c r="W48" s="11">
        <v>56085.98</v>
      </c>
      <c r="X48" s="11"/>
      <c r="Y48" s="11">
        <v>44671.59</v>
      </c>
      <c r="Z48" s="11">
        <v>52841</v>
      </c>
      <c r="AA48" s="11">
        <v>176772.71</v>
      </c>
      <c r="AB48" s="11">
        <v>68458.149999999994</v>
      </c>
      <c r="AC48" s="11">
        <v>56753.16</v>
      </c>
      <c r="AD48" s="11"/>
      <c r="AE48" s="11">
        <v>45806.62999999999</v>
      </c>
      <c r="AF48" s="11">
        <v>54710</v>
      </c>
      <c r="AG48" s="33">
        <v>106</v>
      </c>
      <c r="AH48" s="33">
        <v>57</v>
      </c>
      <c r="AI48" s="2">
        <f t="shared" si="6"/>
        <v>163</v>
      </c>
      <c r="AJ48" s="18">
        <f t="shared" si="7"/>
        <v>0.34969325153374231</v>
      </c>
      <c r="AK48" s="33">
        <v>126</v>
      </c>
      <c r="AL48" s="33">
        <v>52</v>
      </c>
      <c r="AM48" s="2">
        <f t="shared" si="8"/>
        <v>178</v>
      </c>
      <c r="AN48" s="18">
        <f t="shared" si="9"/>
        <v>0.29213483146067415</v>
      </c>
      <c r="AO48" s="2">
        <v>115</v>
      </c>
      <c r="AP48" s="2">
        <v>54</v>
      </c>
      <c r="AQ48" s="2">
        <f t="shared" si="10"/>
        <v>169</v>
      </c>
      <c r="AR48" s="18">
        <f t="shared" si="11"/>
        <v>0.31952662721893493</v>
      </c>
      <c r="AS48" s="34">
        <f t="shared" si="37"/>
        <v>168</v>
      </c>
      <c r="AT48" s="34">
        <f t="shared" si="38"/>
        <v>175</v>
      </c>
      <c r="AU48" s="34">
        <v>9</v>
      </c>
      <c r="AV48" s="34">
        <v>9</v>
      </c>
      <c r="AW48" s="34">
        <v>9</v>
      </c>
      <c r="AX48" s="34">
        <f t="shared" si="12"/>
        <v>9</v>
      </c>
      <c r="AY48" s="34">
        <f t="shared" si="13"/>
        <v>9</v>
      </c>
      <c r="AZ48" s="2">
        <f t="shared" si="14"/>
        <v>535.16481646825412</v>
      </c>
      <c r="BA48" s="2">
        <f t="shared" si="15"/>
        <v>452.44826884920639</v>
      </c>
      <c r="BB48" s="2">
        <f t="shared" si="16"/>
        <v>8.5387400793650787</v>
      </c>
      <c r="BC48" s="2">
        <f t="shared" si="17"/>
        <v>74.177807539682647</v>
      </c>
      <c r="BD48" s="2">
        <f t="shared" si="39"/>
        <v>532.90673333333348</v>
      </c>
      <c r="BE48" s="2">
        <f t="shared" si="18"/>
        <v>442.21830000000006</v>
      </c>
      <c r="BF48" s="2">
        <f t="shared" si="19"/>
        <v>8.1971904761904764</v>
      </c>
      <c r="BG48" s="2">
        <f t="shared" si="20"/>
        <v>82.49124285714295</v>
      </c>
      <c r="BH48" s="2">
        <f t="shared" si="21"/>
        <v>423.45200892857156</v>
      </c>
      <c r="BI48" s="2">
        <f t="shared" si="22"/>
        <v>60.249295634920635</v>
      </c>
      <c r="BJ48" s="2">
        <f t="shared" si="23"/>
        <v>22.158526785714283</v>
      </c>
      <c r="BK48" s="2">
        <f t="shared" si="24"/>
        <v>29.30498511904764</v>
      </c>
      <c r="BL48" s="2">
        <f t="shared" si="40"/>
        <v>422.67687142857159</v>
      </c>
      <c r="BM48" s="20">
        <f t="shared" si="25"/>
        <v>59.624433333333336</v>
      </c>
      <c r="BN48" s="20">
        <f t="shared" si="26"/>
        <v>21.812680952380948</v>
      </c>
      <c r="BO48" s="2">
        <f t="shared" si="27"/>
        <v>28.792747619047606</v>
      </c>
      <c r="BP48" s="18">
        <f t="shared" si="28"/>
        <v>0.84543724648244989</v>
      </c>
      <c r="BQ48" s="18">
        <f t="shared" si="29"/>
        <v>0.82982306722589716</v>
      </c>
      <c r="BR48" s="18">
        <f t="shared" si="30"/>
        <v>0.11258082329202337</v>
      </c>
      <c r="BS48" s="18">
        <f t="shared" si="31"/>
        <v>0.11188530675974442</v>
      </c>
      <c r="BT48" s="29">
        <f>BD48/Kool!BJ48</f>
        <v>0.75789838616324323</v>
      </c>
      <c r="BU48" s="27">
        <v>19.559999999999999</v>
      </c>
      <c r="BV48" s="27">
        <v>18.78</v>
      </c>
      <c r="BW48" s="27">
        <f t="shared" si="32"/>
        <v>18.666666666666668</v>
      </c>
      <c r="BX48" s="27">
        <f t="shared" si="33"/>
        <v>19.444444444444443</v>
      </c>
      <c r="BY48" s="2">
        <v>1645.196301247772</v>
      </c>
      <c r="BZ48" s="2">
        <v>1683.2779667422519</v>
      </c>
      <c r="CA48" s="2">
        <f>VLOOKUP(A48,'[1]kaugused autoga'!$A$3:$B$82,2,FALSE)</f>
        <v>4606.6000000000004</v>
      </c>
      <c r="CB48" s="29">
        <v>1.95</v>
      </c>
      <c r="CC48">
        <v>4290</v>
      </c>
      <c r="CD48" s="18">
        <v>0.99672609901791509</v>
      </c>
      <c r="CE48" t="s">
        <v>234</v>
      </c>
      <c r="CG48" s="27">
        <f t="shared" si="34"/>
        <v>19.444444444444443</v>
      </c>
      <c r="CH48" s="2">
        <f t="shared" si="35"/>
        <v>1683.2779667422519</v>
      </c>
      <c r="CI48" s="56">
        <f t="shared" si="36"/>
        <v>0.99672609901791509</v>
      </c>
    </row>
    <row r="49" spans="1:87" ht="14.25" customHeight="1" x14ac:dyDescent="0.35">
      <c r="A49" t="s">
        <v>123</v>
      </c>
      <c r="B49" s="10" t="s">
        <v>54</v>
      </c>
      <c r="C49" s="11">
        <v>461466.05</v>
      </c>
      <c r="D49" s="11">
        <v>37675.97</v>
      </c>
      <c r="E49" s="11">
        <v>2730516.67</v>
      </c>
      <c r="F49" s="11">
        <v>465208.11</v>
      </c>
      <c r="G49" s="11"/>
      <c r="H49" s="11">
        <v>15905899.439999999</v>
      </c>
      <c r="I49" s="11">
        <v>841322.95000000007</v>
      </c>
      <c r="J49" s="11">
        <f>Kool!AY49</f>
        <v>174037.24763970639</v>
      </c>
      <c r="K49" s="12">
        <f t="shared" si="4"/>
        <v>19685710.217639707</v>
      </c>
      <c r="L49" s="11">
        <v>482868.44</v>
      </c>
      <c r="M49" s="11">
        <v>31441.32</v>
      </c>
      <c r="N49" s="11">
        <v>2780002.63</v>
      </c>
      <c r="O49" s="11">
        <v>500156.54</v>
      </c>
      <c r="P49" s="11"/>
      <c r="Q49" s="11">
        <v>15901763.77</v>
      </c>
      <c r="R49" s="11">
        <v>885469.09000000008</v>
      </c>
      <c r="S49" s="11">
        <f>Kool!AZ49</f>
        <v>156324.62152803765</v>
      </c>
      <c r="T49" s="12">
        <f t="shared" si="5"/>
        <v>19737713.331528034</v>
      </c>
      <c r="U49" s="11">
        <v>3839552.79</v>
      </c>
      <c r="V49" s="11">
        <v>2014562.74</v>
      </c>
      <c r="W49" s="11">
        <v>863405.17</v>
      </c>
      <c r="X49" s="11"/>
      <c r="Y49" s="11">
        <v>767340.32000000007</v>
      </c>
      <c r="Z49" s="11">
        <v>812603</v>
      </c>
      <c r="AA49" s="11">
        <v>4149070.42</v>
      </c>
      <c r="AB49" s="11">
        <v>2247999.7799999998</v>
      </c>
      <c r="AC49" s="11">
        <v>877313.34</v>
      </c>
      <c r="AD49" s="11"/>
      <c r="AE49" s="11">
        <v>793264</v>
      </c>
      <c r="AF49" s="11">
        <v>821176</v>
      </c>
      <c r="AG49" s="33">
        <v>2607</v>
      </c>
      <c r="AH49" s="33">
        <v>137</v>
      </c>
      <c r="AI49" s="2">
        <f t="shared" si="6"/>
        <v>2744</v>
      </c>
      <c r="AJ49" s="18">
        <f t="shared" si="7"/>
        <v>4.9927113702623906E-2</v>
      </c>
      <c r="AK49" s="33">
        <v>2610</v>
      </c>
      <c r="AL49" s="33">
        <v>135</v>
      </c>
      <c r="AM49" s="2">
        <f t="shared" si="8"/>
        <v>2745</v>
      </c>
      <c r="AN49" s="18">
        <f t="shared" si="9"/>
        <v>4.9180327868852458E-2</v>
      </c>
      <c r="AO49" s="2">
        <v>2463</v>
      </c>
      <c r="AP49" s="2">
        <v>133</v>
      </c>
      <c r="AQ49" s="2">
        <f t="shared" si="10"/>
        <v>2596</v>
      </c>
      <c r="AR49" s="18">
        <f t="shared" si="11"/>
        <v>5.1232665639445299E-2</v>
      </c>
      <c r="AS49" s="34">
        <f t="shared" si="37"/>
        <v>2744.333333333333</v>
      </c>
      <c r="AT49" s="34">
        <f t="shared" si="38"/>
        <v>2695.3333333333335</v>
      </c>
      <c r="AU49" s="34">
        <v>150</v>
      </c>
      <c r="AV49" s="34">
        <v>150</v>
      </c>
      <c r="AW49" s="34">
        <v>151</v>
      </c>
      <c r="AX49" s="34">
        <f t="shared" si="12"/>
        <v>150</v>
      </c>
      <c r="AY49" s="34">
        <f t="shared" si="13"/>
        <v>150.33333333333334</v>
      </c>
      <c r="AZ49" s="2">
        <f t="shared" si="14"/>
        <v>597.76843852908144</v>
      </c>
      <c r="BA49" s="2">
        <f t="shared" si="15"/>
        <v>482.99220940119039</v>
      </c>
      <c r="BB49" s="2">
        <f t="shared" si="16"/>
        <v>25.54727772379449</v>
      </c>
      <c r="BC49" s="2">
        <f t="shared" si="17"/>
        <v>89.228951404096549</v>
      </c>
      <c r="BD49" s="2">
        <f t="shared" si="39"/>
        <v>610.24342479371853</v>
      </c>
      <c r="BE49" s="2">
        <f t="shared" si="18"/>
        <v>491.64493476378925</v>
      </c>
      <c r="BF49" s="2">
        <f t="shared" si="19"/>
        <v>27.376610499628992</v>
      </c>
      <c r="BG49" s="2">
        <f t="shared" si="20"/>
        <v>91.221879530300285</v>
      </c>
      <c r="BH49" s="2">
        <f t="shared" si="21"/>
        <v>456.50292808331437</v>
      </c>
      <c r="BI49" s="2">
        <f t="shared" si="22"/>
        <v>87.391227681282658</v>
      </c>
      <c r="BJ49" s="2">
        <f t="shared" si="23"/>
        <v>23.300750637677641</v>
      </c>
      <c r="BK49" s="2">
        <f t="shared" si="24"/>
        <v>30.573532126806764</v>
      </c>
      <c r="BL49" s="2">
        <f t="shared" si="40"/>
        <v>456.57515803636016</v>
      </c>
      <c r="BM49" s="20">
        <f t="shared" si="25"/>
        <v>96.627291615137267</v>
      </c>
      <c r="BN49" s="20">
        <f t="shared" si="26"/>
        <v>24.525847143210484</v>
      </c>
      <c r="BO49" s="2">
        <f t="shared" si="27"/>
        <v>32.515127999010616</v>
      </c>
      <c r="BP49" s="18">
        <f t="shared" si="28"/>
        <v>0.80799215594199159</v>
      </c>
      <c r="BQ49" s="18">
        <f t="shared" si="29"/>
        <v>0.80565380107123763</v>
      </c>
      <c r="BR49" s="18">
        <f t="shared" si="30"/>
        <v>0.14619578761355276</v>
      </c>
      <c r="BS49" s="18">
        <f t="shared" si="31"/>
        <v>0.15834220851752778</v>
      </c>
      <c r="BT49" s="29">
        <f>BD49/Kool!BJ49</f>
        <v>1.4315129094683618</v>
      </c>
      <c r="BU49" s="27">
        <v>18.82</v>
      </c>
      <c r="BV49" s="27">
        <v>17.77</v>
      </c>
      <c r="BW49" s="27">
        <f t="shared" si="32"/>
        <v>18.295555555555552</v>
      </c>
      <c r="BX49" s="27">
        <f t="shared" si="33"/>
        <v>17.929046563192905</v>
      </c>
      <c r="BY49" s="2">
        <v>1754.4174659406169</v>
      </c>
      <c r="BZ49" s="2">
        <v>1813.261762669393</v>
      </c>
      <c r="CA49" s="2">
        <f>VLOOKUP(A49,'[1]kaugused autoga'!$A$3:$B$82,2,FALSE)</f>
        <v>1233.7</v>
      </c>
      <c r="CB49" s="29">
        <v>1.1499999999999999</v>
      </c>
      <c r="CC49">
        <v>51777</v>
      </c>
      <c r="CD49" s="18">
        <v>0.99326845398054553</v>
      </c>
      <c r="CE49" t="s">
        <v>234</v>
      </c>
      <c r="CG49" s="27">
        <f t="shared" si="34"/>
        <v>17.929046563192905</v>
      </c>
      <c r="CH49" s="2">
        <f t="shared" si="35"/>
        <v>1813.261762669393</v>
      </c>
      <c r="CI49" s="56">
        <f t="shared" si="36"/>
        <v>0.99326845398054553</v>
      </c>
    </row>
    <row r="50" spans="1:87" ht="14.25" customHeight="1" x14ac:dyDescent="0.35">
      <c r="A50" t="s">
        <v>101</v>
      </c>
      <c r="B50" s="10" t="s">
        <v>55</v>
      </c>
      <c r="C50" s="11">
        <v>146066.20000000001</v>
      </c>
      <c r="D50" s="13"/>
      <c r="E50" s="11">
        <v>1449055.97</v>
      </c>
      <c r="F50" s="11">
        <v>558530.69999999995</v>
      </c>
      <c r="G50" s="11">
        <v>30909.599999999999</v>
      </c>
      <c r="H50" s="11">
        <v>3989667.38</v>
      </c>
      <c r="I50" s="11">
        <v>315928.18</v>
      </c>
      <c r="J50" s="11">
        <f>Kool!AY50</f>
        <v>-210870.15002898552</v>
      </c>
      <c r="K50" s="12">
        <f t="shared" si="4"/>
        <v>5131316.8799710134</v>
      </c>
      <c r="L50" s="11">
        <v>139367.03</v>
      </c>
      <c r="M50" s="11">
        <v>-126.34</v>
      </c>
      <c r="N50" s="11">
        <v>1436773.99</v>
      </c>
      <c r="O50" s="11">
        <v>586756.76</v>
      </c>
      <c r="P50" s="11">
        <v>31630.54</v>
      </c>
      <c r="Q50" s="11">
        <v>4006227.54</v>
      </c>
      <c r="R50" s="11">
        <v>316406.84000000003</v>
      </c>
      <c r="S50" s="11">
        <f>Kool!AZ50</f>
        <v>-205456.81505958299</v>
      </c>
      <c r="T50" s="12">
        <f t="shared" si="5"/>
        <v>5106435.4849404171</v>
      </c>
      <c r="U50" s="11">
        <v>964974.55000000016</v>
      </c>
      <c r="V50" s="11">
        <v>425133.53</v>
      </c>
      <c r="W50" s="11">
        <v>160549.92000000001</v>
      </c>
      <c r="X50" s="11"/>
      <c r="Y50" s="11">
        <v>337874</v>
      </c>
      <c r="Z50" s="11">
        <v>199705</v>
      </c>
      <c r="AA50" s="11">
        <v>955985.76</v>
      </c>
      <c r="AB50" s="11">
        <v>443699.24</v>
      </c>
      <c r="AC50" s="11">
        <v>157244.62</v>
      </c>
      <c r="AD50" s="11"/>
      <c r="AE50" s="11">
        <v>336261</v>
      </c>
      <c r="AF50" s="11">
        <v>198340</v>
      </c>
      <c r="AG50" s="33">
        <v>499</v>
      </c>
      <c r="AH50" s="33">
        <v>196</v>
      </c>
      <c r="AI50" s="2">
        <f t="shared" si="6"/>
        <v>695</v>
      </c>
      <c r="AJ50" s="18">
        <f t="shared" si="7"/>
        <v>0.28201438848920862</v>
      </c>
      <c r="AK50" s="33">
        <v>478</v>
      </c>
      <c r="AL50" s="33">
        <v>202</v>
      </c>
      <c r="AM50" s="2">
        <f t="shared" si="8"/>
        <v>680</v>
      </c>
      <c r="AN50" s="18">
        <f t="shared" si="9"/>
        <v>0.29705882352941176</v>
      </c>
      <c r="AO50" s="2">
        <v>456</v>
      </c>
      <c r="AP50" s="2">
        <v>198</v>
      </c>
      <c r="AQ50" s="2">
        <f t="shared" si="10"/>
        <v>654</v>
      </c>
      <c r="AR50" s="18">
        <f t="shared" si="11"/>
        <v>0.30275229357798167</v>
      </c>
      <c r="AS50" s="34">
        <f t="shared" si="37"/>
        <v>690</v>
      </c>
      <c r="AT50" s="34">
        <f t="shared" si="38"/>
        <v>671.33333333333326</v>
      </c>
      <c r="AU50" s="34">
        <v>38</v>
      </c>
      <c r="AV50" s="34">
        <v>38</v>
      </c>
      <c r="AW50" s="34">
        <v>36</v>
      </c>
      <c r="AX50" s="34">
        <f t="shared" si="12"/>
        <v>38</v>
      </c>
      <c r="AY50" s="34">
        <f t="shared" si="13"/>
        <v>37.333333333333329</v>
      </c>
      <c r="AZ50" s="2">
        <f t="shared" si="14"/>
        <v>619.72426086606436</v>
      </c>
      <c r="BA50" s="2">
        <f t="shared" si="15"/>
        <v>481.8438864734299</v>
      </c>
      <c r="BB50" s="2">
        <f t="shared" si="16"/>
        <v>41.888620772946858</v>
      </c>
      <c r="BC50" s="2">
        <f t="shared" si="17"/>
        <v>95.991753619687586</v>
      </c>
      <c r="BD50" s="2">
        <f t="shared" si="39"/>
        <v>633.86736406906869</v>
      </c>
      <c r="BE50" s="2">
        <f t="shared" si="18"/>
        <v>497.29736097318778</v>
      </c>
      <c r="BF50" s="2">
        <f t="shared" si="19"/>
        <v>43.202256703078454</v>
      </c>
      <c r="BG50" s="2">
        <f t="shared" si="20"/>
        <v>93.367746392802445</v>
      </c>
      <c r="BH50" s="2">
        <f t="shared" si="21"/>
        <v>479.06247946509819</v>
      </c>
      <c r="BI50" s="2">
        <f t="shared" si="22"/>
        <v>70.734716183574889</v>
      </c>
      <c r="BJ50" s="2">
        <f t="shared" si="23"/>
        <v>40.806038647342994</v>
      </c>
      <c r="BK50" s="2">
        <f t="shared" si="24"/>
        <v>29.121026570048279</v>
      </c>
      <c r="BL50" s="2">
        <f t="shared" si="40"/>
        <v>490.57965801147196</v>
      </c>
      <c r="BM50" s="20">
        <f t="shared" si="25"/>
        <v>74.595811817279056</v>
      </c>
      <c r="BN50" s="20">
        <f t="shared" si="26"/>
        <v>41.74044190665343</v>
      </c>
      <c r="BO50" s="2">
        <f t="shared" si="27"/>
        <v>26.951452333664236</v>
      </c>
      <c r="BP50" s="18">
        <f t="shared" si="28"/>
        <v>0.77751335053440263</v>
      </c>
      <c r="BQ50" s="18">
        <f t="shared" si="29"/>
        <v>0.78454482619332377</v>
      </c>
      <c r="BR50" s="18">
        <f t="shared" si="30"/>
        <v>0.11413901415562328</v>
      </c>
      <c r="BS50" s="18">
        <f t="shared" si="31"/>
        <v>0.11768362917190796</v>
      </c>
      <c r="BT50" s="29">
        <f>BD50/Kool!BJ50</f>
        <v>1.1625279020988781</v>
      </c>
      <c r="BU50" s="27">
        <v>18</v>
      </c>
      <c r="BV50" s="27">
        <v>18.34</v>
      </c>
      <c r="BW50" s="27">
        <f t="shared" si="32"/>
        <v>18.157894736842106</v>
      </c>
      <c r="BX50" s="27">
        <f t="shared" si="33"/>
        <v>17.982142857142858</v>
      </c>
      <c r="BY50" s="2">
        <v>1721.5002271591479</v>
      </c>
      <c r="BZ50" s="2">
        <v>1705.2359887420459</v>
      </c>
      <c r="CA50" s="2">
        <f>VLOOKUP(A50,'[1]kaugused autoga'!$A$3:$B$82,2,FALSE)</f>
        <v>2505.3000000000002</v>
      </c>
      <c r="CB50" s="29">
        <v>1.41</v>
      </c>
      <c r="CC50">
        <v>12583</v>
      </c>
      <c r="CD50" s="18">
        <v>0.99125159963603038</v>
      </c>
      <c r="CE50" t="s">
        <v>234</v>
      </c>
      <c r="CG50" s="27">
        <f t="shared" si="34"/>
        <v>17.982142857142858</v>
      </c>
      <c r="CH50" s="2">
        <f t="shared" si="35"/>
        <v>1705.2359887420459</v>
      </c>
      <c r="CI50" s="56">
        <f t="shared" si="36"/>
        <v>0.99125159963603038</v>
      </c>
    </row>
    <row r="51" spans="1:87" ht="14.25" customHeight="1" x14ac:dyDescent="0.35">
      <c r="A51" t="s">
        <v>122</v>
      </c>
      <c r="B51" s="10" t="s">
        <v>56</v>
      </c>
      <c r="C51" s="11">
        <v>103832.16</v>
      </c>
      <c r="D51" s="11">
        <v>5248.4699999999993</v>
      </c>
      <c r="E51" s="11">
        <v>628968.99999999988</v>
      </c>
      <c r="F51" s="11">
        <v>117086.18</v>
      </c>
      <c r="G51" s="11"/>
      <c r="H51" s="11">
        <v>2546741.9700000011</v>
      </c>
      <c r="I51" s="11">
        <v>70256.72</v>
      </c>
      <c r="J51" s="11">
        <f>Kool!AY51</f>
        <v>77274.966322314023</v>
      </c>
      <c r="K51" s="12">
        <f t="shared" si="4"/>
        <v>3315237.1063223151</v>
      </c>
      <c r="L51" s="11">
        <v>126439.61</v>
      </c>
      <c r="M51" s="11">
        <v>1621.1</v>
      </c>
      <c r="N51" s="11">
        <v>704236.88000000024</v>
      </c>
      <c r="O51" s="11">
        <v>98854</v>
      </c>
      <c r="P51" s="11"/>
      <c r="Q51" s="11">
        <v>2614947.4900000002</v>
      </c>
      <c r="R51" s="11">
        <v>59562.780000000013</v>
      </c>
      <c r="S51" s="11">
        <f>Kool!AZ51</f>
        <v>110568.20340136052</v>
      </c>
      <c r="T51" s="12">
        <f t="shared" si="5"/>
        <v>3518522.063401361</v>
      </c>
      <c r="U51" s="11">
        <v>571004.51</v>
      </c>
      <c r="V51" s="11">
        <v>205289.93</v>
      </c>
      <c r="W51" s="11">
        <v>129136.41</v>
      </c>
      <c r="X51" s="11"/>
      <c r="Y51" s="11">
        <v>123725.5</v>
      </c>
      <c r="Z51" s="11">
        <v>153033</v>
      </c>
      <c r="AA51" s="11">
        <v>580997.71</v>
      </c>
      <c r="AB51" s="11">
        <v>216103.26</v>
      </c>
      <c r="AC51" s="11">
        <v>125263.79</v>
      </c>
      <c r="AD51" s="11"/>
      <c r="AE51" s="11">
        <v>111869</v>
      </c>
      <c r="AF51" s="11">
        <v>154362</v>
      </c>
      <c r="AG51" s="33">
        <v>329</v>
      </c>
      <c r="AH51" s="33">
        <v>59</v>
      </c>
      <c r="AI51" s="2">
        <f t="shared" si="6"/>
        <v>388</v>
      </c>
      <c r="AJ51" s="18">
        <f t="shared" si="7"/>
        <v>0.15206185567010308</v>
      </c>
      <c r="AK51" s="33">
        <v>334</v>
      </c>
      <c r="AL51" s="33">
        <v>67</v>
      </c>
      <c r="AM51" s="2">
        <f t="shared" si="8"/>
        <v>401</v>
      </c>
      <c r="AN51" s="18">
        <f t="shared" si="9"/>
        <v>0.16708229426433915</v>
      </c>
      <c r="AO51" s="2">
        <v>327</v>
      </c>
      <c r="AP51" s="2">
        <v>54</v>
      </c>
      <c r="AQ51" s="2">
        <f t="shared" si="10"/>
        <v>381</v>
      </c>
      <c r="AR51" s="18">
        <f t="shared" si="11"/>
        <v>0.14173228346456693</v>
      </c>
      <c r="AS51" s="34">
        <f t="shared" si="37"/>
        <v>392.33333333333337</v>
      </c>
      <c r="AT51" s="34">
        <f t="shared" si="38"/>
        <v>394.33333333333331</v>
      </c>
      <c r="AU51" s="34">
        <v>26</v>
      </c>
      <c r="AV51" s="34">
        <v>27</v>
      </c>
      <c r="AW51" s="34">
        <v>26</v>
      </c>
      <c r="AX51" s="34">
        <f t="shared" si="12"/>
        <v>26.333333333333332</v>
      </c>
      <c r="AY51" s="34">
        <f t="shared" si="13"/>
        <v>26.666666666666664</v>
      </c>
      <c r="AZ51" s="2">
        <f t="shared" si="14"/>
        <v>704.17100813982904</v>
      </c>
      <c r="BA51" s="2">
        <f t="shared" si="15"/>
        <v>540.93924596431623</v>
      </c>
      <c r="BB51" s="2">
        <f t="shared" si="16"/>
        <v>14.922837723024637</v>
      </c>
      <c r="BC51" s="2">
        <f t="shared" si="17"/>
        <v>148.30892445248818</v>
      </c>
      <c r="BD51" s="2">
        <f t="shared" si="39"/>
        <v>743.55918499606105</v>
      </c>
      <c r="BE51" s="2">
        <f t="shared" si="18"/>
        <v>552.60935967878288</v>
      </c>
      <c r="BF51" s="2">
        <f t="shared" si="19"/>
        <v>12.587231614539311</v>
      </c>
      <c r="BG51" s="2">
        <f t="shared" si="20"/>
        <v>178.36259370273885</v>
      </c>
      <c r="BH51" s="2">
        <f t="shared" si="21"/>
        <v>550.38224220949758</v>
      </c>
      <c r="BI51" s="2">
        <f t="shared" si="22"/>
        <v>71.033632115547988</v>
      </c>
      <c r="BJ51" s="2">
        <f t="shared" si="23"/>
        <v>26.279842820730668</v>
      </c>
      <c r="BK51" s="2">
        <f t="shared" si="24"/>
        <v>56.475290994052813</v>
      </c>
      <c r="BL51" s="2">
        <f t="shared" si="40"/>
        <v>588.15772472556239</v>
      </c>
      <c r="BM51" s="20">
        <f t="shared" si="25"/>
        <v>72.140120456466619</v>
      </c>
      <c r="BN51" s="20">
        <f t="shared" si="26"/>
        <v>23.640955198647507</v>
      </c>
      <c r="BO51" s="2">
        <f t="shared" si="27"/>
        <v>59.620384615384538</v>
      </c>
      <c r="BP51" s="18">
        <f t="shared" si="28"/>
        <v>0.76819300952660141</v>
      </c>
      <c r="BQ51" s="18">
        <f t="shared" si="29"/>
        <v>0.74319485365742644</v>
      </c>
      <c r="BR51" s="18">
        <f t="shared" si="30"/>
        <v>0.10087554201243494</v>
      </c>
      <c r="BS51" s="18">
        <f t="shared" si="31"/>
        <v>9.7020011200384504E-2</v>
      </c>
      <c r="BT51" s="29">
        <f>BD51/Kool!BJ51</f>
        <v>1.1035035073400048</v>
      </c>
      <c r="BU51" s="27">
        <v>14.96</v>
      </c>
      <c r="BV51" s="27">
        <v>14.76</v>
      </c>
      <c r="BW51" s="27">
        <f t="shared" si="32"/>
        <v>14.898734177215191</v>
      </c>
      <c r="BX51" s="27">
        <f t="shared" si="33"/>
        <v>14.787500000000001</v>
      </c>
      <c r="BY51" s="2">
        <v>1680.3675558895361</v>
      </c>
      <c r="BZ51" s="2">
        <v>1669.368394895472</v>
      </c>
      <c r="CA51" s="2">
        <f>VLOOKUP(A51,'[1]kaugused autoga'!$A$3:$B$82,2,FALSE)</f>
        <v>3077</v>
      </c>
      <c r="CB51" s="29">
        <v>1.86</v>
      </c>
      <c r="CC51">
        <v>7847</v>
      </c>
      <c r="CD51" s="18">
        <v>1.0040484680618098</v>
      </c>
      <c r="CE51" t="s">
        <v>234</v>
      </c>
      <c r="CG51" s="27">
        <f t="shared" si="34"/>
        <v>14.787500000000001</v>
      </c>
      <c r="CH51" s="2">
        <f t="shared" si="35"/>
        <v>1669.368394895472</v>
      </c>
      <c r="CI51" s="56">
        <f t="shared" si="36"/>
        <v>1.0040484680618098</v>
      </c>
    </row>
    <row r="52" spans="1:87" ht="14.25" customHeight="1" x14ac:dyDescent="0.35">
      <c r="A52" t="s">
        <v>136</v>
      </c>
      <c r="B52" s="10" t="s">
        <v>57</v>
      </c>
      <c r="C52" s="11">
        <v>29306.959999999999</v>
      </c>
      <c r="D52" s="11">
        <v>444.48</v>
      </c>
      <c r="E52" s="11">
        <v>208802.76</v>
      </c>
      <c r="F52" s="11">
        <v>61646</v>
      </c>
      <c r="G52" s="11"/>
      <c r="H52" s="11">
        <v>960809.54</v>
      </c>
      <c r="I52" s="11">
        <v>62306.26</v>
      </c>
      <c r="J52" s="11">
        <f>Kool!AY52</f>
        <v>364580.72487282462</v>
      </c>
      <c r="K52" s="12">
        <f t="shared" si="4"/>
        <v>1564604.7248728247</v>
      </c>
      <c r="L52" s="11">
        <v>40655.339999999997</v>
      </c>
      <c r="M52" s="11">
        <v>2523.7399999999998</v>
      </c>
      <c r="N52" s="11">
        <v>243290.35</v>
      </c>
      <c r="O52" s="11">
        <v>51835.68</v>
      </c>
      <c r="P52" s="11"/>
      <c r="Q52" s="11">
        <v>1013775.47</v>
      </c>
      <c r="R52" s="11">
        <v>62306.26</v>
      </c>
      <c r="S52" s="11">
        <f>Kool!AZ52</f>
        <v>0</v>
      </c>
      <c r="T52" s="12">
        <f t="shared" si="5"/>
        <v>1310715.48</v>
      </c>
      <c r="U52" s="11">
        <v>133788.67000000001</v>
      </c>
      <c r="V52" s="11">
        <v>48593.63</v>
      </c>
      <c r="W52" s="11">
        <v>30037.5</v>
      </c>
      <c r="X52" s="11"/>
      <c r="Y52" s="11">
        <v>50092.349999999991</v>
      </c>
      <c r="Z52" s="11">
        <v>89357</v>
      </c>
      <c r="AA52" s="11">
        <v>160909.47</v>
      </c>
      <c r="AB52" s="11">
        <v>80282.78</v>
      </c>
      <c r="AC52" s="11">
        <v>35239.5</v>
      </c>
      <c r="AD52" s="11"/>
      <c r="AE52" s="11">
        <v>42504</v>
      </c>
      <c r="AF52" s="11">
        <v>88241</v>
      </c>
      <c r="AG52" s="33">
        <v>89</v>
      </c>
      <c r="AH52" s="33">
        <v>103</v>
      </c>
      <c r="AI52" s="2">
        <f t="shared" si="6"/>
        <v>192</v>
      </c>
      <c r="AJ52" s="18">
        <f t="shared" si="7"/>
        <v>0.53645833333333337</v>
      </c>
      <c r="AK52" s="33">
        <v>180</v>
      </c>
      <c r="AL52" s="33">
        <v>0</v>
      </c>
      <c r="AM52" s="2">
        <f t="shared" si="8"/>
        <v>180</v>
      </c>
      <c r="AN52" s="18">
        <f t="shared" si="9"/>
        <v>0</v>
      </c>
      <c r="AO52" s="2">
        <v>199</v>
      </c>
      <c r="AP52" s="2">
        <v>0</v>
      </c>
      <c r="AQ52" s="2">
        <f t="shared" si="10"/>
        <v>199</v>
      </c>
      <c r="AR52" s="18">
        <f t="shared" si="11"/>
        <v>0</v>
      </c>
      <c r="AS52" s="34">
        <f t="shared" si="37"/>
        <v>188</v>
      </c>
      <c r="AT52" s="34">
        <f t="shared" si="38"/>
        <v>186.33333333333331</v>
      </c>
      <c r="AU52" s="34">
        <v>12</v>
      </c>
      <c r="AV52" s="34">
        <v>12</v>
      </c>
      <c r="AW52" s="34">
        <v>12</v>
      </c>
      <c r="AX52" s="34">
        <f t="shared" si="12"/>
        <v>12</v>
      </c>
      <c r="AY52" s="34">
        <f t="shared" si="13"/>
        <v>12</v>
      </c>
      <c r="AZ52" s="2">
        <f t="shared" si="14"/>
        <v>693.53046315284791</v>
      </c>
      <c r="BA52" s="2">
        <f t="shared" si="15"/>
        <v>425.89075354609935</v>
      </c>
      <c r="BB52" s="2">
        <f t="shared" si="16"/>
        <v>27.618023049645391</v>
      </c>
      <c r="BC52" s="2">
        <f t="shared" si="17"/>
        <v>240.02168655710318</v>
      </c>
      <c r="BD52" s="2">
        <f t="shared" si="39"/>
        <v>586.18760286225404</v>
      </c>
      <c r="BE52" s="2">
        <f t="shared" si="18"/>
        <v>453.38795617173531</v>
      </c>
      <c r="BF52" s="2">
        <f t="shared" si="19"/>
        <v>27.865053667262973</v>
      </c>
      <c r="BG52" s="2">
        <f t="shared" si="20"/>
        <v>104.93459302325576</v>
      </c>
      <c r="BH52" s="2">
        <f t="shared" si="21"/>
        <v>594.61837538689042</v>
      </c>
      <c r="BI52" s="2">
        <f t="shared" si="22"/>
        <v>34.854224290780145</v>
      </c>
      <c r="BJ52" s="2">
        <f t="shared" si="23"/>
        <v>22.204055851063828</v>
      </c>
      <c r="BK52" s="2">
        <f t="shared" si="24"/>
        <v>41.853807624113529</v>
      </c>
      <c r="BL52" s="2">
        <f t="shared" si="40"/>
        <v>474.76073792486591</v>
      </c>
      <c r="BM52" s="20">
        <f t="shared" si="25"/>
        <v>51.664704830053672</v>
      </c>
      <c r="BN52" s="20">
        <f t="shared" si="26"/>
        <v>19.008944543828267</v>
      </c>
      <c r="BO52" s="2">
        <f t="shared" si="27"/>
        <v>40.753215563506188</v>
      </c>
      <c r="BP52" s="18">
        <f t="shared" si="28"/>
        <v>0.61409091045541686</v>
      </c>
      <c r="BQ52" s="18">
        <f t="shared" si="29"/>
        <v>0.7734519699118837</v>
      </c>
      <c r="BR52" s="18">
        <f t="shared" si="30"/>
        <v>5.0256226860360111E-2</v>
      </c>
      <c r="BS52" s="18">
        <f t="shared" si="31"/>
        <v>8.81368090655342E-2</v>
      </c>
      <c r="BT52" s="29">
        <f>BD52/Kool!BJ52</f>
        <v>0.78560501388374915</v>
      </c>
      <c r="BU52" s="27">
        <v>15</v>
      </c>
      <c r="BV52" s="27">
        <v>16.579999999999998</v>
      </c>
      <c r="BW52" s="27">
        <f t="shared" si="32"/>
        <v>15.666666666666666</v>
      </c>
      <c r="BX52" s="27">
        <f t="shared" si="33"/>
        <v>15.527777777777777</v>
      </c>
      <c r="BY52" s="2">
        <v>1729.1296668340869</v>
      </c>
      <c r="BZ52" s="2">
        <v>1639.438342051038</v>
      </c>
      <c r="CA52" s="2">
        <f>VLOOKUP(A52,'[1]kaugused autoga'!$A$3:$B$82,2,FALSE)</f>
        <v>4806.8999999999996</v>
      </c>
      <c r="CB52" s="29">
        <v>1.95</v>
      </c>
      <c r="CC52">
        <v>5090</v>
      </c>
      <c r="CD52" s="18">
        <v>1.0050419056665689</v>
      </c>
      <c r="CE52" t="s">
        <v>234</v>
      </c>
      <c r="CG52" s="27">
        <f t="shared" si="34"/>
        <v>15.527777777777777</v>
      </c>
      <c r="CH52" s="2">
        <f t="shared" si="35"/>
        <v>1639.438342051038</v>
      </c>
      <c r="CI52" s="56">
        <f t="shared" si="36"/>
        <v>1.0050419056665689</v>
      </c>
    </row>
    <row r="53" spans="1:87" ht="14.25" customHeight="1" x14ac:dyDescent="0.35">
      <c r="A53" t="s">
        <v>150</v>
      </c>
      <c r="B53" s="10" t="s">
        <v>58</v>
      </c>
      <c r="C53" s="11">
        <v>39551.26</v>
      </c>
      <c r="D53" s="13"/>
      <c r="E53" s="11">
        <v>404068.2300000001</v>
      </c>
      <c r="F53" s="11">
        <v>200614.44</v>
      </c>
      <c r="G53" s="11"/>
      <c r="H53" s="11">
        <v>1242687.8999999999</v>
      </c>
      <c r="I53" s="11">
        <v>74370.23</v>
      </c>
      <c r="J53" s="11">
        <f>Kool!AY53</f>
        <v>0</v>
      </c>
      <c r="K53" s="12">
        <f t="shared" si="4"/>
        <v>1560063.18</v>
      </c>
      <c r="L53" s="11">
        <v>41477.550000000003</v>
      </c>
      <c r="M53" s="11">
        <v>59.2</v>
      </c>
      <c r="N53" s="11">
        <v>426072.26</v>
      </c>
      <c r="O53" s="11">
        <v>225526.48</v>
      </c>
      <c r="P53" s="11"/>
      <c r="Q53" s="11">
        <v>1250357.55</v>
      </c>
      <c r="R53" s="11">
        <v>72612.680000000008</v>
      </c>
      <c r="S53" s="11">
        <f>Kool!AZ53</f>
        <v>0</v>
      </c>
      <c r="T53" s="12">
        <f t="shared" si="5"/>
        <v>1565052.76</v>
      </c>
      <c r="U53" s="11">
        <v>36206.589999999997</v>
      </c>
      <c r="V53" s="11">
        <v>320</v>
      </c>
      <c r="W53" s="11">
        <v>4346.3999999999996</v>
      </c>
      <c r="X53" s="11"/>
      <c r="Y53" s="11">
        <v>18479.47</v>
      </c>
      <c r="Z53" s="11">
        <v>52865</v>
      </c>
      <c r="AA53" s="11">
        <v>104461.87</v>
      </c>
      <c r="AB53" s="11">
        <v>580</v>
      </c>
      <c r="AC53" s="11">
        <v>63093.9</v>
      </c>
      <c r="AD53" s="11"/>
      <c r="AE53" s="11">
        <v>34621.279999999999</v>
      </c>
      <c r="AF53" s="11">
        <v>54256</v>
      </c>
      <c r="AG53" s="33">
        <v>199</v>
      </c>
      <c r="AH53" s="33">
        <v>0</v>
      </c>
      <c r="AI53" s="2">
        <f t="shared" si="6"/>
        <v>199</v>
      </c>
      <c r="AJ53" s="18">
        <f t="shared" si="7"/>
        <v>0</v>
      </c>
      <c r="AK53" s="33">
        <v>95</v>
      </c>
      <c r="AL53" s="33">
        <v>104</v>
      </c>
      <c r="AM53" s="2">
        <f t="shared" si="8"/>
        <v>199</v>
      </c>
      <c r="AN53" s="18">
        <f t="shared" si="9"/>
        <v>0.52261306532663321</v>
      </c>
      <c r="AO53" s="2">
        <v>105</v>
      </c>
      <c r="AP53" s="2">
        <v>92</v>
      </c>
      <c r="AQ53" s="2">
        <f t="shared" si="10"/>
        <v>197</v>
      </c>
      <c r="AR53" s="18">
        <f t="shared" si="11"/>
        <v>0.46700507614213199</v>
      </c>
      <c r="AS53" s="34">
        <f t="shared" si="37"/>
        <v>199</v>
      </c>
      <c r="AT53" s="34">
        <f t="shared" si="38"/>
        <v>198.33333333333331</v>
      </c>
      <c r="AU53" s="34">
        <v>13</v>
      </c>
      <c r="AV53" s="34">
        <v>13</v>
      </c>
      <c r="AW53" s="34">
        <v>13</v>
      </c>
      <c r="AX53" s="34">
        <f t="shared" si="12"/>
        <v>13</v>
      </c>
      <c r="AY53" s="34">
        <f t="shared" si="13"/>
        <v>13</v>
      </c>
      <c r="AZ53" s="2">
        <f t="shared" si="14"/>
        <v>653.29278894472361</v>
      </c>
      <c r="BA53" s="2">
        <f t="shared" si="15"/>
        <v>520.38856783919596</v>
      </c>
      <c r="BB53" s="2">
        <f t="shared" si="16"/>
        <v>31.143312395309881</v>
      </c>
      <c r="BC53" s="2">
        <f t="shared" si="17"/>
        <v>101.76090871021778</v>
      </c>
      <c r="BD53" s="2">
        <f t="shared" si="39"/>
        <v>657.58519327731096</v>
      </c>
      <c r="BE53" s="2">
        <f t="shared" si="18"/>
        <v>525.36031512605052</v>
      </c>
      <c r="BF53" s="2">
        <f t="shared" si="19"/>
        <v>30.509529411764714</v>
      </c>
      <c r="BG53" s="2">
        <f t="shared" si="20"/>
        <v>101.71534873949572</v>
      </c>
      <c r="BH53" s="2">
        <f t="shared" si="21"/>
        <v>615.99312814070345</v>
      </c>
      <c r="BI53" s="2">
        <f t="shared" si="22"/>
        <v>1.9541038525963146</v>
      </c>
      <c r="BJ53" s="2">
        <f t="shared" si="23"/>
        <v>7.7384715242881077</v>
      </c>
      <c r="BK53" s="2">
        <f t="shared" si="24"/>
        <v>27.607085427135743</v>
      </c>
      <c r="BL53" s="2">
        <f t="shared" si="40"/>
        <v>590.89701260504216</v>
      </c>
      <c r="BM53" s="20">
        <f t="shared" si="25"/>
        <v>26.753739495798325</v>
      </c>
      <c r="BN53" s="20">
        <f t="shared" si="26"/>
        <v>14.546756302521009</v>
      </c>
      <c r="BO53" s="2">
        <f t="shared" si="27"/>
        <v>25.38768487394946</v>
      </c>
      <c r="BP53" s="18">
        <f t="shared" si="28"/>
        <v>0.79656254690915784</v>
      </c>
      <c r="BQ53" s="18">
        <f t="shared" si="29"/>
        <v>0.7989235775029081</v>
      </c>
      <c r="BR53" s="18">
        <f t="shared" si="30"/>
        <v>2.9911609092652257E-3</v>
      </c>
      <c r="BS53" s="18">
        <f t="shared" si="31"/>
        <v>4.0684826497478593E-2</v>
      </c>
      <c r="BT53" s="29">
        <f>BD53/Kool!BJ53</f>
        <v>1.0167096758076928</v>
      </c>
      <c r="BU53" s="27">
        <v>15.31</v>
      </c>
      <c r="BV53" s="27">
        <v>15.15</v>
      </c>
      <c r="BW53" s="27">
        <f t="shared" si="32"/>
        <v>15.307692307692308</v>
      </c>
      <c r="BX53" s="27">
        <f t="shared" si="33"/>
        <v>15.256410256410255</v>
      </c>
      <c r="BY53" s="2">
        <v>1627.6305970149249</v>
      </c>
      <c r="BZ53" s="2">
        <v>1685.9743042378241</v>
      </c>
      <c r="CA53" s="2">
        <f>VLOOKUP(A53,'[1]kaugused autoga'!$A$3:$B$82,2,FALSE)</f>
        <v>4248.1000000000004</v>
      </c>
      <c r="CB53" s="29">
        <v>2.08</v>
      </c>
      <c r="CC53">
        <v>4750</v>
      </c>
      <c r="CD53" s="18">
        <v>1.0012601870798852</v>
      </c>
      <c r="CE53" t="s">
        <v>234</v>
      </c>
      <c r="CG53" s="27">
        <f t="shared" si="34"/>
        <v>15.256410256410255</v>
      </c>
      <c r="CH53" s="2">
        <f t="shared" si="35"/>
        <v>1685.9743042378241</v>
      </c>
      <c r="CI53" s="56">
        <f t="shared" si="36"/>
        <v>1.0012601870798852</v>
      </c>
    </row>
    <row r="54" spans="1:87" ht="14.25" customHeight="1" x14ac:dyDescent="0.35">
      <c r="A54" t="s">
        <v>119</v>
      </c>
      <c r="B54" s="10" t="s">
        <v>59</v>
      </c>
      <c r="C54" s="11">
        <v>145452.10999999999</v>
      </c>
      <c r="D54" s="11">
        <v>1315.61</v>
      </c>
      <c r="E54" s="11">
        <v>1067400.9099999999</v>
      </c>
      <c r="F54" s="11">
        <v>401516.07</v>
      </c>
      <c r="G54" s="11"/>
      <c r="H54" s="11">
        <v>3545529.52</v>
      </c>
      <c r="I54" s="11">
        <v>225341</v>
      </c>
      <c r="J54" s="11">
        <f>Kool!AY54</f>
        <v>28377.195590551179</v>
      </c>
      <c r="K54" s="12">
        <f t="shared" si="4"/>
        <v>4611900.2755905511</v>
      </c>
      <c r="L54" s="11">
        <v>167078.75</v>
      </c>
      <c r="M54" s="11">
        <v>2247.19</v>
      </c>
      <c r="N54" s="11">
        <v>726119.52000000014</v>
      </c>
      <c r="O54" s="11">
        <v>170611.54</v>
      </c>
      <c r="P54" s="11"/>
      <c r="Q54" s="11">
        <v>3804568.5300000012</v>
      </c>
      <c r="R54" s="11">
        <v>227815</v>
      </c>
      <c r="S54" s="11">
        <f>Kool!AZ54</f>
        <v>33366.643433789941</v>
      </c>
      <c r="T54" s="12">
        <f t="shared" si="5"/>
        <v>4790584.0934337908</v>
      </c>
      <c r="U54" s="11">
        <v>727311.87000000011</v>
      </c>
      <c r="V54" s="11">
        <v>207228</v>
      </c>
      <c r="W54" s="11">
        <v>159548.37</v>
      </c>
      <c r="X54" s="11"/>
      <c r="Y54" s="11">
        <v>308658.20000000013</v>
      </c>
      <c r="Z54" s="11">
        <v>215245</v>
      </c>
      <c r="AA54" s="11">
        <v>792557.92</v>
      </c>
      <c r="AB54" s="11">
        <v>273633</v>
      </c>
      <c r="AC54" s="11">
        <v>141141.54</v>
      </c>
      <c r="AD54" s="11"/>
      <c r="AE54" s="11">
        <v>333543.76</v>
      </c>
      <c r="AF54" s="11">
        <v>213814</v>
      </c>
      <c r="AG54" s="33">
        <v>590</v>
      </c>
      <c r="AH54" s="33">
        <v>4</v>
      </c>
      <c r="AI54" s="2">
        <f t="shared" si="6"/>
        <v>594</v>
      </c>
      <c r="AJ54" s="18">
        <f t="shared" si="7"/>
        <v>6.7340067340067337E-3</v>
      </c>
      <c r="AK54" s="33">
        <v>579</v>
      </c>
      <c r="AL54" s="33">
        <v>4</v>
      </c>
      <c r="AM54" s="2">
        <f t="shared" si="8"/>
        <v>583</v>
      </c>
      <c r="AN54" s="18">
        <f t="shared" si="9"/>
        <v>6.8610634648370496E-3</v>
      </c>
      <c r="AO54" s="2">
        <v>538</v>
      </c>
      <c r="AP54" s="2">
        <v>4</v>
      </c>
      <c r="AQ54" s="2">
        <f t="shared" si="10"/>
        <v>542</v>
      </c>
      <c r="AR54" s="18">
        <f t="shared" si="11"/>
        <v>7.3800738007380072E-3</v>
      </c>
      <c r="AS54" s="34">
        <f t="shared" si="37"/>
        <v>590.33333333333337</v>
      </c>
      <c r="AT54" s="34">
        <f t="shared" si="38"/>
        <v>569.33333333333337</v>
      </c>
      <c r="AU54" s="34">
        <v>38</v>
      </c>
      <c r="AV54" s="34">
        <v>37</v>
      </c>
      <c r="AW54" s="34">
        <v>36</v>
      </c>
      <c r="AX54" s="34">
        <f t="shared" si="12"/>
        <v>37.666666666666664</v>
      </c>
      <c r="AY54" s="34">
        <f t="shared" si="13"/>
        <v>36.666666666666671</v>
      </c>
      <c r="AZ54" s="2">
        <f t="shared" si="14"/>
        <v>651.03053015112243</v>
      </c>
      <c r="BA54" s="2">
        <f t="shared" si="15"/>
        <v>500.49823828345569</v>
      </c>
      <c r="BB54" s="2">
        <f t="shared" si="16"/>
        <v>31.809853190287971</v>
      </c>
      <c r="BC54" s="2">
        <f t="shared" si="17"/>
        <v>118.72243867737878</v>
      </c>
      <c r="BD54" s="2">
        <f t="shared" si="39"/>
        <v>701.19790594756887</v>
      </c>
      <c r="BE54" s="2">
        <f t="shared" si="18"/>
        <v>556.87478483606571</v>
      </c>
      <c r="BF54" s="2">
        <f t="shared" si="19"/>
        <v>33.345286885245898</v>
      </c>
      <c r="BG54" s="2">
        <f t="shared" si="20"/>
        <v>110.97783422625726</v>
      </c>
      <c r="BH54" s="2">
        <f t="shared" si="21"/>
        <v>517.97620067624939</v>
      </c>
      <c r="BI54" s="2">
        <f t="shared" si="22"/>
        <v>51.775320440429134</v>
      </c>
      <c r="BJ54" s="2">
        <f t="shared" si="23"/>
        <v>43.571174477696239</v>
      </c>
      <c r="BK54" s="2">
        <f t="shared" si="24"/>
        <v>37.707834556747663</v>
      </c>
      <c r="BL54" s="2">
        <f t="shared" si="40"/>
        <v>553.8952244487399</v>
      </c>
      <c r="BM54" s="20">
        <f t="shared" si="25"/>
        <v>60.710559133489461</v>
      </c>
      <c r="BN54" s="20">
        <f t="shared" si="26"/>
        <v>48.820807962529273</v>
      </c>
      <c r="BO54" s="2">
        <f t="shared" si="27"/>
        <v>37.771314402810248</v>
      </c>
      <c r="BP54" s="18">
        <f t="shared" si="28"/>
        <v>0.7687784444875051</v>
      </c>
      <c r="BQ54" s="18">
        <f t="shared" si="29"/>
        <v>0.79417633753986894</v>
      </c>
      <c r="BR54" s="18">
        <f t="shared" si="30"/>
        <v>7.9528252581965136E-2</v>
      </c>
      <c r="BS54" s="18">
        <f t="shared" si="31"/>
        <v>8.6581204277054721E-2</v>
      </c>
      <c r="BT54" s="29">
        <f>BD54/Kool!BJ54</f>
        <v>1.0087169706557544</v>
      </c>
      <c r="BU54" s="27">
        <v>16.079999999999998</v>
      </c>
      <c r="BV54" s="27">
        <v>15.37</v>
      </c>
      <c r="BW54" s="27">
        <f t="shared" si="32"/>
        <v>15.672566371681418</v>
      </c>
      <c r="BX54" s="27">
        <f t="shared" si="33"/>
        <v>15.527272727272726</v>
      </c>
      <c r="BY54" s="2">
        <v>1697.2478711439589</v>
      </c>
      <c r="BZ54" s="2">
        <v>1718.67464</v>
      </c>
      <c r="CA54" s="2">
        <f>VLOOKUP(A54,'[1]kaugused autoga'!$A$3:$B$82,2,FALSE)</f>
        <v>2346</v>
      </c>
      <c r="CB54" s="29">
        <v>1.49</v>
      </c>
      <c r="CC54">
        <v>13183</v>
      </c>
      <c r="CD54" s="18">
        <v>0.98862626815101096</v>
      </c>
      <c r="CE54" t="s">
        <v>234</v>
      </c>
      <c r="CG54" s="27">
        <f t="shared" si="34"/>
        <v>15.527272727272726</v>
      </c>
      <c r="CH54" s="2">
        <f t="shared" si="35"/>
        <v>1718.67464</v>
      </c>
      <c r="CI54" s="56">
        <f t="shared" si="36"/>
        <v>0.98862626815101096</v>
      </c>
    </row>
    <row r="55" spans="1:87" ht="14.25" customHeight="1" x14ac:dyDescent="0.35">
      <c r="A55" t="s">
        <v>113</v>
      </c>
      <c r="B55" s="10" t="s">
        <v>60</v>
      </c>
      <c r="C55" s="11">
        <v>31758.57</v>
      </c>
      <c r="D55" s="11">
        <v>359.44</v>
      </c>
      <c r="E55" s="11">
        <v>293530.65999999997</v>
      </c>
      <c r="F55" s="11">
        <v>134156.35999999999</v>
      </c>
      <c r="G55" s="11"/>
      <c r="H55" s="11">
        <v>1089898.1399999999</v>
      </c>
      <c r="I55" s="11">
        <v>55861</v>
      </c>
      <c r="J55" s="11">
        <f>Kool!AY55</f>
        <v>80166.056611359294</v>
      </c>
      <c r="K55" s="12">
        <f t="shared" si="4"/>
        <v>1417417.5066113593</v>
      </c>
      <c r="L55" s="11">
        <v>34529.25</v>
      </c>
      <c r="M55" s="13"/>
      <c r="N55" s="11">
        <v>292437.38</v>
      </c>
      <c r="O55" s="11">
        <v>123602.34</v>
      </c>
      <c r="P55" s="11"/>
      <c r="Q55" s="11">
        <v>1000588.81</v>
      </c>
      <c r="R55" s="11">
        <v>55861</v>
      </c>
      <c r="S55" s="11">
        <f>Kool!AZ55</f>
        <v>238691.46727158941</v>
      </c>
      <c r="T55" s="12">
        <f t="shared" si="5"/>
        <v>1498505.5672715895</v>
      </c>
      <c r="U55" s="11">
        <v>149256.35999999999</v>
      </c>
      <c r="V55" s="11">
        <v>38952.86</v>
      </c>
      <c r="W55" s="11">
        <v>54027</v>
      </c>
      <c r="X55" s="11">
        <v>3798</v>
      </c>
      <c r="Y55" s="11">
        <v>49626</v>
      </c>
      <c r="Z55" s="11">
        <v>55423</v>
      </c>
      <c r="AA55" s="11">
        <v>164874.94</v>
      </c>
      <c r="AB55" s="11">
        <v>53752.34</v>
      </c>
      <c r="AC55" s="11">
        <v>46935.600000000013</v>
      </c>
      <c r="AD55" s="11"/>
      <c r="AE55" s="11">
        <v>62244</v>
      </c>
      <c r="AF55" s="11">
        <v>55796</v>
      </c>
      <c r="AG55" s="33">
        <v>211</v>
      </c>
      <c r="AH55" s="33">
        <v>0</v>
      </c>
      <c r="AI55" s="2">
        <f t="shared" si="6"/>
        <v>211</v>
      </c>
      <c r="AJ55" s="18">
        <f t="shared" si="7"/>
        <v>0</v>
      </c>
      <c r="AK55" s="33">
        <v>175</v>
      </c>
      <c r="AL55" s="33">
        <v>37</v>
      </c>
      <c r="AM55" s="2">
        <f t="shared" si="8"/>
        <v>212</v>
      </c>
      <c r="AN55" s="18">
        <f t="shared" si="9"/>
        <v>0.17452830188679244</v>
      </c>
      <c r="AO55" s="2">
        <v>167</v>
      </c>
      <c r="AP55" s="2">
        <v>35</v>
      </c>
      <c r="AQ55" s="2">
        <f t="shared" si="10"/>
        <v>202</v>
      </c>
      <c r="AR55" s="18">
        <f t="shared" si="11"/>
        <v>0.17326732673267325</v>
      </c>
      <c r="AS55" s="34">
        <f t="shared" si="37"/>
        <v>211.33333333333331</v>
      </c>
      <c r="AT55" s="34">
        <f t="shared" si="38"/>
        <v>208.66666666666669</v>
      </c>
      <c r="AU55" s="34">
        <v>13</v>
      </c>
      <c r="AV55" s="34">
        <v>13</v>
      </c>
      <c r="AW55" s="34">
        <v>13</v>
      </c>
      <c r="AX55" s="34">
        <f t="shared" si="12"/>
        <v>13</v>
      </c>
      <c r="AY55" s="34">
        <f t="shared" si="13"/>
        <v>13</v>
      </c>
      <c r="AZ55" s="2">
        <f t="shared" si="14"/>
        <v>558.91857516220796</v>
      </c>
      <c r="BA55" s="2">
        <f t="shared" si="15"/>
        <v>429.77055993690851</v>
      </c>
      <c r="BB55" s="2">
        <f t="shared" si="16"/>
        <v>22.027208201892748</v>
      </c>
      <c r="BC55" s="2">
        <f t="shared" si="17"/>
        <v>107.1208070234067</v>
      </c>
      <c r="BD55" s="2">
        <f t="shared" si="39"/>
        <v>598.44471536405331</v>
      </c>
      <c r="BE55" s="2">
        <f t="shared" si="18"/>
        <v>399.59617012779546</v>
      </c>
      <c r="BF55" s="2">
        <f t="shared" si="19"/>
        <v>22.308706070287538</v>
      </c>
      <c r="BG55" s="2">
        <f t="shared" si="20"/>
        <v>176.53983916597031</v>
      </c>
      <c r="BH55" s="2">
        <f t="shared" si="21"/>
        <v>478.20904834832794</v>
      </c>
      <c r="BI55" s="2">
        <f t="shared" si="22"/>
        <v>38.161616719242907</v>
      </c>
      <c r="BJ55" s="2">
        <f t="shared" si="23"/>
        <v>19.568611987381704</v>
      </c>
      <c r="BK55" s="2">
        <f t="shared" si="24"/>
        <v>22.979298107255406</v>
      </c>
      <c r="BL55" s="2">
        <f t="shared" si="40"/>
        <v>510.3173431595805</v>
      </c>
      <c r="BM55" s="20">
        <f t="shared" si="25"/>
        <v>40.210838658146962</v>
      </c>
      <c r="BN55" s="20">
        <f t="shared" si="26"/>
        <v>24.857827476038338</v>
      </c>
      <c r="BO55" s="2">
        <f t="shared" si="27"/>
        <v>23.058706070287506</v>
      </c>
      <c r="BP55" s="18">
        <f t="shared" si="28"/>
        <v>0.76893232580824777</v>
      </c>
      <c r="BQ55" s="18">
        <f t="shared" si="29"/>
        <v>0.66772445285059989</v>
      </c>
      <c r="BR55" s="18">
        <f t="shared" si="30"/>
        <v>6.8277596084846057E-2</v>
      </c>
      <c r="BS55" s="18">
        <f t="shared" si="31"/>
        <v>6.7192236184566198E-2</v>
      </c>
      <c r="BT55" s="29">
        <f>BD55/Kool!BJ55</f>
        <v>1.0931345761172242</v>
      </c>
      <c r="BU55" s="27">
        <v>16.23</v>
      </c>
      <c r="BV55" s="27">
        <v>15.46</v>
      </c>
      <c r="BW55" s="27">
        <f t="shared" si="32"/>
        <v>16.256410256410255</v>
      </c>
      <c r="BX55" s="27">
        <f t="shared" si="33"/>
        <v>16.051282051282051</v>
      </c>
      <c r="BY55" s="2">
        <v>1735.91849593496</v>
      </c>
      <c r="BZ55" s="2">
        <v>1633.7085664335659</v>
      </c>
      <c r="CA55" s="2">
        <f>VLOOKUP(A55,'[1]kaugused autoga'!$A$3:$B$82,2,FALSE)</f>
        <v>4484.3</v>
      </c>
      <c r="CB55" s="29">
        <v>1.84</v>
      </c>
      <c r="CC55">
        <v>5870</v>
      </c>
      <c r="CD55" s="18">
        <v>0.9864138394108497</v>
      </c>
      <c r="CE55" t="s">
        <v>234</v>
      </c>
      <c r="CG55" s="27">
        <f t="shared" si="34"/>
        <v>16.051282051282051</v>
      </c>
      <c r="CH55" s="2">
        <f t="shared" si="35"/>
        <v>1633.7085664335659</v>
      </c>
      <c r="CI55" s="56">
        <f t="shared" si="36"/>
        <v>0.9864138394108497</v>
      </c>
    </row>
    <row r="56" spans="1:87" ht="14.25" customHeight="1" x14ac:dyDescent="0.35">
      <c r="A56" t="s">
        <v>148</v>
      </c>
      <c r="B56" s="10" t="s">
        <v>61</v>
      </c>
      <c r="C56" s="11">
        <v>68491.75</v>
      </c>
      <c r="D56" s="13"/>
      <c r="E56" s="11">
        <v>358928.1</v>
      </c>
      <c r="F56" s="11">
        <v>44584.49</v>
      </c>
      <c r="G56" s="11"/>
      <c r="H56" s="11">
        <v>1494864.41</v>
      </c>
      <c r="I56" s="11">
        <v>89703.580000000016</v>
      </c>
      <c r="J56" s="11">
        <f>Kool!AY56</f>
        <v>87486.822849462347</v>
      </c>
      <c r="K56" s="12">
        <f t="shared" si="4"/>
        <v>2054890.1728494624</v>
      </c>
      <c r="L56" s="11">
        <v>81312.099999999991</v>
      </c>
      <c r="M56" s="11">
        <v>2883.94</v>
      </c>
      <c r="N56" s="11">
        <v>399902.41999999993</v>
      </c>
      <c r="O56" s="11">
        <v>34602.25</v>
      </c>
      <c r="P56" s="11"/>
      <c r="Q56" s="11">
        <v>1547931.89</v>
      </c>
      <c r="R56" s="11">
        <v>89703.580000000016</v>
      </c>
      <c r="S56" s="11">
        <f>Kool!AZ56</f>
        <v>0</v>
      </c>
      <c r="T56" s="12">
        <f t="shared" si="5"/>
        <v>2087131.68</v>
      </c>
      <c r="U56" s="11">
        <v>443881.55</v>
      </c>
      <c r="V56" s="11">
        <v>135037.6</v>
      </c>
      <c r="W56" s="11">
        <v>124957.5</v>
      </c>
      <c r="X56" s="11"/>
      <c r="Y56" s="11">
        <v>157353</v>
      </c>
      <c r="Z56" s="11">
        <v>99492</v>
      </c>
      <c r="AA56" s="11">
        <v>438500.69</v>
      </c>
      <c r="AB56" s="11">
        <v>136915.28</v>
      </c>
      <c r="AC56" s="11">
        <v>125935.5</v>
      </c>
      <c r="AD56" s="11"/>
      <c r="AE56" s="11">
        <v>150660</v>
      </c>
      <c r="AF56" s="11">
        <v>99766</v>
      </c>
      <c r="AG56" s="33">
        <v>274</v>
      </c>
      <c r="AH56" s="33">
        <v>19</v>
      </c>
      <c r="AI56" s="2">
        <f t="shared" si="6"/>
        <v>293</v>
      </c>
      <c r="AJ56" s="18">
        <f t="shared" si="7"/>
        <v>6.4846416382252553E-2</v>
      </c>
      <c r="AK56" s="33">
        <v>298</v>
      </c>
      <c r="AL56" s="33">
        <v>0</v>
      </c>
      <c r="AM56" s="2">
        <f t="shared" si="8"/>
        <v>298</v>
      </c>
      <c r="AN56" s="18">
        <f t="shared" si="9"/>
        <v>0</v>
      </c>
      <c r="AO56" s="2">
        <v>274</v>
      </c>
      <c r="AP56" s="2">
        <v>0</v>
      </c>
      <c r="AQ56" s="2">
        <f t="shared" si="10"/>
        <v>274</v>
      </c>
      <c r="AR56" s="18">
        <f t="shared" si="11"/>
        <v>0</v>
      </c>
      <c r="AS56" s="34">
        <f t="shared" si="37"/>
        <v>294.66666666666669</v>
      </c>
      <c r="AT56" s="34">
        <f t="shared" si="38"/>
        <v>290</v>
      </c>
      <c r="AU56" s="34">
        <v>16</v>
      </c>
      <c r="AV56" s="34">
        <v>16</v>
      </c>
      <c r="AW56" s="34">
        <v>17</v>
      </c>
      <c r="AX56" s="34">
        <f t="shared" si="12"/>
        <v>16</v>
      </c>
      <c r="AY56" s="34">
        <f t="shared" si="13"/>
        <v>16.333333333333332</v>
      </c>
      <c r="AZ56" s="2">
        <f t="shared" si="14"/>
        <v>581.13409865652216</v>
      </c>
      <c r="BA56" s="2">
        <f t="shared" si="15"/>
        <v>422.75577205882342</v>
      </c>
      <c r="BB56" s="2">
        <f t="shared" si="16"/>
        <v>25.368659502262446</v>
      </c>
      <c r="BC56" s="2">
        <f t="shared" si="17"/>
        <v>133.00966709543627</v>
      </c>
      <c r="BD56" s="2">
        <f t="shared" si="39"/>
        <v>599.75048275862071</v>
      </c>
      <c r="BE56" s="2">
        <f t="shared" si="18"/>
        <v>444.80801436781604</v>
      </c>
      <c r="BF56" s="2">
        <f t="shared" si="19"/>
        <v>25.776890804597709</v>
      </c>
      <c r="BG56" s="2">
        <f t="shared" si="20"/>
        <v>129.16557758620695</v>
      </c>
      <c r="BH56" s="2">
        <f t="shared" si="21"/>
        <v>427.46510827190673</v>
      </c>
      <c r="BI56" s="2">
        <f t="shared" si="22"/>
        <v>73.528026018099538</v>
      </c>
      <c r="BJ56" s="2">
        <f t="shared" si="23"/>
        <v>44.500282805429862</v>
      </c>
      <c r="BK56" s="2">
        <f t="shared" si="24"/>
        <v>35.640681561086026</v>
      </c>
      <c r="BL56" s="2">
        <f t="shared" si="40"/>
        <v>445.07614655172415</v>
      </c>
      <c r="BM56" s="20">
        <f t="shared" si="25"/>
        <v>75.531833333333338</v>
      </c>
      <c r="BN56" s="20">
        <f t="shared" si="26"/>
        <v>43.293103448275865</v>
      </c>
      <c r="BO56" s="2">
        <f t="shared" si="27"/>
        <v>35.849399425287352</v>
      </c>
      <c r="BP56" s="18">
        <f t="shared" si="28"/>
        <v>0.7274668153807512</v>
      </c>
      <c r="BQ56" s="18">
        <f t="shared" si="29"/>
        <v>0.74165511684437646</v>
      </c>
      <c r="BR56" s="18">
        <f t="shared" si="30"/>
        <v>0.12652505882563619</v>
      </c>
      <c r="BS56" s="18">
        <f t="shared" si="31"/>
        <v>0.12593876204303506</v>
      </c>
      <c r="BT56" s="29">
        <f>BD56/Kool!BJ56</f>
        <v>0.94003317389316421</v>
      </c>
      <c r="BU56" s="27">
        <v>18.63</v>
      </c>
      <c r="BV56" s="27">
        <v>16.559999999999999</v>
      </c>
      <c r="BW56" s="27">
        <f t="shared" si="32"/>
        <v>18.416666666666668</v>
      </c>
      <c r="BX56" s="27">
        <f t="shared" si="33"/>
        <v>17.755102040816329</v>
      </c>
      <c r="BY56" s="2">
        <v>1701.8909694845961</v>
      </c>
      <c r="BZ56" s="2">
        <v>1874.112611475686</v>
      </c>
      <c r="CA56" s="2">
        <f>VLOOKUP(A56,'[1]kaugused autoga'!$A$3:$B$82,2,FALSE)</f>
        <v>1646.5</v>
      </c>
      <c r="CB56" s="29">
        <v>1.98</v>
      </c>
      <c r="CC56">
        <v>5378</v>
      </c>
      <c r="CD56" s="18">
        <v>0.99167376327855095</v>
      </c>
      <c r="CE56" t="s">
        <v>234</v>
      </c>
      <c r="CG56" s="27">
        <f t="shared" si="34"/>
        <v>17.755102040816329</v>
      </c>
      <c r="CH56" s="2">
        <f t="shared" si="35"/>
        <v>1874.112611475686</v>
      </c>
      <c r="CI56" s="56">
        <f t="shared" si="36"/>
        <v>0.99167376327855095</v>
      </c>
    </row>
    <row r="57" spans="1:87" ht="14.25" customHeight="1" x14ac:dyDescent="0.35">
      <c r="A57" t="s">
        <v>144</v>
      </c>
      <c r="B57" s="10" t="s">
        <v>62</v>
      </c>
      <c r="C57" s="11">
        <v>108569.12</v>
      </c>
      <c r="D57" s="11">
        <v>1281.27</v>
      </c>
      <c r="E57" s="11">
        <v>882616.54000000015</v>
      </c>
      <c r="F57" s="11">
        <v>349923.35</v>
      </c>
      <c r="G57" s="11"/>
      <c r="H57" s="11">
        <v>2605199.0499999998</v>
      </c>
      <c r="I57" s="11">
        <v>346028.73</v>
      </c>
      <c r="J57" s="11">
        <f>Kool!AY57</f>
        <v>0</v>
      </c>
      <c r="K57" s="12">
        <f t="shared" si="4"/>
        <v>3593771.36</v>
      </c>
      <c r="L57" s="11">
        <v>102624.78</v>
      </c>
      <c r="M57" s="11">
        <v>1070.74</v>
      </c>
      <c r="N57" s="11">
        <v>958420.39</v>
      </c>
      <c r="O57" s="11">
        <v>433406.98</v>
      </c>
      <c r="P57" s="11"/>
      <c r="Q57" s="11">
        <v>2789559.5300000012</v>
      </c>
      <c r="R57" s="11">
        <v>389636.76</v>
      </c>
      <c r="S57" s="11">
        <f>Kool!AZ57</f>
        <v>0</v>
      </c>
      <c r="T57" s="12">
        <f t="shared" si="5"/>
        <v>3807905.2200000007</v>
      </c>
      <c r="U57" s="11">
        <v>499820.13000000012</v>
      </c>
      <c r="V57" s="11">
        <v>271876.95</v>
      </c>
      <c r="W57" s="11">
        <v>152570.99</v>
      </c>
      <c r="X57" s="11"/>
      <c r="Y57" s="11">
        <v>42595</v>
      </c>
      <c r="Z57" s="11">
        <v>124074</v>
      </c>
      <c r="AA57" s="11">
        <v>511953.09</v>
      </c>
      <c r="AB57" s="11">
        <v>284208.34000000003</v>
      </c>
      <c r="AC57" s="11">
        <v>178106.01</v>
      </c>
      <c r="AD57" s="11"/>
      <c r="AE57" s="11">
        <v>43311</v>
      </c>
      <c r="AF57" s="11">
        <v>122213</v>
      </c>
      <c r="AG57" s="33">
        <v>472</v>
      </c>
      <c r="AH57" s="33">
        <v>0</v>
      </c>
      <c r="AI57" s="2">
        <f t="shared" si="6"/>
        <v>472</v>
      </c>
      <c r="AJ57" s="18">
        <f t="shared" si="7"/>
        <v>0</v>
      </c>
      <c r="AK57" s="33">
        <v>441</v>
      </c>
      <c r="AL57" s="33">
        <v>0</v>
      </c>
      <c r="AM57" s="2">
        <f t="shared" si="8"/>
        <v>441</v>
      </c>
      <c r="AN57" s="18">
        <f t="shared" si="9"/>
        <v>0</v>
      </c>
      <c r="AO57" s="2">
        <v>441</v>
      </c>
      <c r="AP57" s="2">
        <v>0</v>
      </c>
      <c r="AQ57" s="2">
        <f t="shared" si="10"/>
        <v>441</v>
      </c>
      <c r="AR57" s="18">
        <f t="shared" si="11"/>
        <v>0</v>
      </c>
      <c r="AS57" s="34">
        <f t="shared" si="37"/>
        <v>461.66666666666669</v>
      </c>
      <c r="AT57" s="34">
        <f t="shared" si="38"/>
        <v>441</v>
      </c>
      <c r="AU57" s="34">
        <v>24</v>
      </c>
      <c r="AV57" s="34">
        <v>24</v>
      </c>
      <c r="AW57" s="34">
        <v>24</v>
      </c>
      <c r="AX57" s="34">
        <f t="shared" si="12"/>
        <v>24</v>
      </c>
      <c r="AY57" s="34">
        <f t="shared" si="13"/>
        <v>24</v>
      </c>
      <c r="AZ57" s="2">
        <f t="shared" si="14"/>
        <v>648.69519133573999</v>
      </c>
      <c r="BA57" s="2">
        <f t="shared" si="15"/>
        <v>470.25253610108297</v>
      </c>
      <c r="BB57" s="2">
        <f t="shared" si="16"/>
        <v>62.460059566787002</v>
      </c>
      <c r="BC57" s="2">
        <f t="shared" si="17"/>
        <v>115.98259566787002</v>
      </c>
      <c r="BD57" s="2">
        <f t="shared" si="39"/>
        <v>719.5588095238096</v>
      </c>
      <c r="BE57" s="2">
        <f t="shared" si="18"/>
        <v>527.12765117157994</v>
      </c>
      <c r="BF57" s="2">
        <f t="shared" si="19"/>
        <v>73.627505668934234</v>
      </c>
      <c r="BG57" s="2">
        <f t="shared" si="20"/>
        <v>118.80365268329543</v>
      </c>
      <c r="BH57" s="2">
        <f t="shared" si="21"/>
        <v>536.07892238267141</v>
      </c>
      <c r="BI57" s="2">
        <f t="shared" si="22"/>
        <v>76.61515162454873</v>
      </c>
      <c r="BJ57" s="2">
        <f t="shared" si="23"/>
        <v>7.6886281588447645</v>
      </c>
      <c r="BK57" s="2">
        <f t="shared" si="24"/>
        <v>28.312489169675089</v>
      </c>
      <c r="BL57" s="2">
        <f t="shared" si="40"/>
        <v>599.7239474678762</v>
      </c>
      <c r="BM57" s="20">
        <f t="shared" si="25"/>
        <v>87.360988284202577</v>
      </c>
      <c r="BN57" s="20">
        <f t="shared" si="26"/>
        <v>8.1842403628117903</v>
      </c>
      <c r="BO57" s="2">
        <f t="shared" si="27"/>
        <v>24.28963340891903</v>
      </c>
      <c r="BP57" s="18">
        <f t="shared" si="28"/>
        <v>0.7249206443673144</v>
      </c>
      <c r="BQ57" s="18">
        <f t="shared" si="29"/>
        <v>0.73257063105157871</v>
      </c>
      <c r="BR57" s="18">
        <f t="shared" si="30"/>
        <v>0.1181065508853073</v>
      </c>
      <c r="BS57" s="18">
        <f t="shared" si="31"/>
        <v>0.12140910114354159</v>
      </c>
      <c r="BT57" s="29">
        <f>BD57/Kool!BJ57</f>
        <v>1.6809393082683748</v>
      </c>
      <c r="BU57" s="27">
        <v>18.329999999999998</v>
      </c>
      <c r="BV57" s="27">
        <v>18.329999999999998</v>
      </c>
      <c r="BW57" s="27">
        <f t="shared" si="32"/>
        <v>19.236111111111111</v>
      </c>
      <c r="BX57" s="27">
        <f t="shared" si="33"/>
        <v>18.375</v>
      </c>
      <c r="BY57" s="2">
        <v>1668.116070460705</v>
      </c>
      <c r="BZ57" s="2">
        <v>1645.540080108198</v>
      </c>
      <c r="CA57" s="2">
        <f>VLOOKUP(A57,'[1]kaugused autoga'!$A$3:$B$82,2,FALSE)</f>
        <v>2040.8</v>
      </c>
      <c r="CB57" s="29">
        <v>1.25</v>
      </c>
      <c r="CC57">
        <v>7842</v>
      </c>
      <c r="CD57" s="18">
        <v>1.0022464581579889</v>
      </c>
      <c r="CE57" t="s">
        <v>234</v>
      </c>
      <c r="CG57" s="27">
        <f t="shared" si="34"/>
        <v>18.375</v>
      </c>
      <c r="CH57" s="2">
        <f t="shared" si="35"/>
        <v>1645.540080108198</v>
      </c>
      <c r="CI57" s="56">
        <f t="shared" si="36"/>
        <v>1.0022464581579889</v>
      </c>
    </row>
    <row r="58" spans="1:87" ht="14.25" customHeight="1" x14ac:dyDescent="0.35">
      <c r="A58" t="s">
        <v>130</v>
      </c>
      <c r="B58" s="10" t="s">
        <v>63</v>
      </c>
      <c r="C58" s="11">
        <v>55231.32</v>
      </c>
      <c r="D58" s="11">
        <v>-118.15</v>
      </c>
      <c r="E58" s="11">
        <v>336232.37000000011</v>
      </c>
      <c r="F58" s="11">
        <v>50722.7</v>
      </c>
      <c r="G58" s="11">
        <v>11777.4</v>
      </c>
      <c r="H58" s="11">
        <v>1707525.44</v>
      </c>
      <c r="I58" s="11">
        <v>141339.24</v>
      </c>
      <c r="J58" s="11">
        <f>Kool!AY58</f>
        <v>59677.34479546376</v>
      </c>
      <c r="K58" s="12">
        <f t="shared" si="4"/>
        <v>2249164.8647954636</v>
      </c>
      <c r="L58" s="11">
        <v>55459.72</v>
      </c>
      <c r="M58" s="11">
        <v>3487.45</v>
      </c>
      <c r="N58" s="11">
        <v>317921.21999999997</v>
      </c>
      <c r="O58" s="11">
        <v>43372.52</v>
      </c>
      <c r="P58" s="11">
        <v>11777.4</v>
      </c>
      <c r="Q58" s="11">
        <v>1739353.49</v>
      </c>
      <c r="R58" s="11">
        <v>116627.31</v>
      </c>
      <c r="S58" s="11">
        <f>Kool!AZ58</f>
        <v>65053.318781725946</v>
      </c>
      <c r="T58" s="12">
        <f t="shared" si="5"/>
        <v>2254529.988781726</v>
      </c>
      <c r="U58" s="11">
        <v>305637.92999999988</v>
      </c>
      <c r="V58" s="11">
        <v>177021.41</v>
      </c>
      <c r="W58" s="11">
        <v>73538.509999999995</v>
      </c>
      <c r="X58" s="11"/>
      <c r="Y58" s="11">
        <v>48065</v>
      </c>
      <c r="Z58" s="11">
        <v>120661</v>
      </c>
      <c r="AA58" s="11">
        <v>377407.01000000013</v>
      </c>
      <c r="AB58" s="11">
        <v>267755.59000000003</v>
      </c>
      <c r="AC58" s="11">
        <v>83858.150000000009</v>
      </c>
      <c r="AD58" s="11"/>
      <c r="AE58" s="11">
        <v>19370.5</v>
      </c>
      <c r="AF58" s="11">
        <v>122430</v>
      </c>
      <c r="AG58" s="33">
        <v>241</v>
      </c>
      <c r="AH58" s="33">
        <v>70</v>
      </c>
      <c r="AI58" s="2">
        <f t="shared" si="6"/>
        <v>311</v>
      </c>
      <c r="AJ58" s="18">
        <f t="shared" si="7"/>
        <v>0.22508038585209003</v>
      </c>
      <c r="AK58" s="33">
        <v>253</v>
      </c>
      <c r="AL58" s="33">
        <v>66</v>
      </c>
      <c r="AM58" s="2">
        <f t="shared" si="8"/>
        <v>319</v>
      </c>
      <c r="AN58" s="18">
        <f t="shared" si="9"/>
        <v>0.20689655172413793</v>
      </c>
      <c r="AO58" s="2">
        <v>236</v>
      </c>
      <c r="AP58" s="2">
        <v>66</v>
      </c>
      <c r="AQ58" s="2">
        <f t="shared" si="10"/>
        <v>302</v>
      </c>
      <c r="AR58" s="18">
        <f t="shared" si="11"/>
        <v>0.2185430463576159</v>
      </c>
      <c r="AS58" s="34">
        <f t="shared" si="37"/>
        <v>313.66666666666669</v>
      </c>
      <c r="AT58" s="34">
        <f t="shared" si="38"/>
        <v>313.33333333333331</v>
      </c>
      <c r="AU58" s="34">
        <v>18</v>
      </c>
      <c r="AV58" s="34">
        <v>18</v>
      </c>
      <c r="AW58" s="34">
        <v>17</v>
      </c>
      <c r="AX58" s="34">
        <f t="shared" si="12"/>
        <v>18</v>
      </c>
      <c r="AY58" s="34">
        <f t="shared" si="13"/>
        <v>17.666666666666668</v>
      </c>
      <c r="AZ58" s="2">
        <f t="shared" si="14"/>
        <v>597.54645717201481</v>
      </c>
      <c r="BA58" s="2">
        <f t="shared" si="15"/>
        <v>453.64650371944737</v>
      </c>
      <c r="BB58" s="2">
        <f t="shared" si="16"/>
        <v>40.679234856535594</v>
      </c>
      <c r="BC58" s="2">
        <f t="shared" si="17"/>
        <v>103.22071859603184</v>
      </c>
      <c r="BD58" s="2">
        <f t="shared" si="39"/>
        <v>599.60903956960794</v>
      </c>
      <c r="BE58" s="2">
        <f t="shared" si="18"/>
        <v>462.59401329787238</v>
      </c>
      <c r="BF58" s="2">
        <f t="shared" si="19"/>
        <v>34.150188829787233</v>
      </c>
      <c r="BG58" s="2">
        <f t="shared" si="20"/>
        <v>102.86483744194834</v>
      </c>
      <c r="BH58" s="2">
        <f t="shared" si="21"/>
        <v>484.28956822408708</v>
      </c>
      <c r="BI58" s="2">
        <f t="shared" si="22"/>
        <v>66.567460148777883</v>
      </c>
      <c r="BJ58" s="2">
        <f t="shared" si="23"/>
        <v>12.769659936238044</v>
      </c>
      <c r="BK58" s="2">
        <f t="shared" si="24"/>
        <v>33.919768862911809</v>
      </c>
      <c r="BL58" s="2">
        <f t="shared" si="40"/>
        <v>466.67366456960798</v>
      </c>
      <c r="BM58" s="20">
        <f t="shared" si="25"/>
        <v>93.51429255319151</v>
      </c>
      <c r="BN58" s="20">
        <f t="shared" si="26"/>
        <v>5.1517287234042559</v>
      </c>
      <c r="BO58" s="2">
        <f t="shared" si="27"/>
        <v>34.269353723404201</v>
      </c>
      <c r="BP58" s="18">
        <f t="shared" si="28"/>
        <v>0.75918198204437992</v>
      </c>
      <c r="BQ58" s="18">
        <f t="shared" si="29"/>
        <v>0.77149272737768715</v>
      </c>
      <c r="BR58" s="18">
        <f t="shared" si="30"/>
        <v>0.11140131340384671</v>
      </c>
      <c r="BS58" s="18">
        <f t="shared" si="31"/>
        <v>0.15595877710635406</v>
      </c>
      <c r="BT58" s="29">
        <f>BD58/Kool!BJ58</f>
        <v>1.0985830853673579</v>
      </c>
      <c r="BU58" s="27">
        <v>17.559999999999999</v>
      </c>
      <c r="BV58" s="27">
        <v>17.760000000000002</v>
      </c>
      <c r="BW58" s="27">
        <f t="shared" si="32"/>
        <v>17.425925925925927</v>
      </c>
      <c r="BX58" s="27">
        <f t="shared" si="33"/>
        <v>17.735849056603772</v>
      </c>
      <c r="BY58" s="2">
        <v>1696.7290775083211</v>
      </c>
      <c r="BZ58" s="2">
        <v>1686.5409150541161</v>
      </c>
      <c r="CA58" s="2">
        <f>VLOOKUP(A58,'[1]kaugused autoga'!$A$3:$B$82,2,FALSE)</f>
        <v>2571.5</v>
      </c>
      <c r="CB58" s="29">
        <v>1.52</v>
      </c>
      <c r="CC58">
        <v>7398</v>
      </c>
      <c r="CD58" s="18">
        <v>1.0005551344690886</v>
      </c>
      <c r="CE58" t="s">
        <v>234</v>
      </c>
      <c r="CG58" s="27">
        <f t="shared" si="34"/>
        <v>17.735849056603772</v>
      </c>
      <c r="CH58" s="2">
        <f t="shared" si="35"/>
        <v>1686.5409150541161</v>
      </c>
      <c r="CI58" s="56">
        <f t="shared" si="36"/>
        <v>1.0005551344690886</v>
      </c>
    </row>
    <row r="59" spans="1:87" ht="14.25" customHeight="1" x14ac:dyDescent="0.35">
      <c r="A59" t="s">
        <v>114</v>
      </c>
      <c r="B59" s="10" t="s">
        <v>64</v>
      </c>
      <c r="C59" s="11">
        <v>149712.93</v>
      </c>
      <c r="D59" s="11">
        <v>7565.56</v>
      </c>
      <c r="E59" s="11">
        <v>1200308.96</v>
      </c>
      <c r="F59" s="11">
        <v>446402.8</v>
      </c>
      <c r="G59" s="11">
        <v>1208.53</v>
      </c>
      <c r="H59" s="11">
        <v>3807123.5500000012</v>
      </c>
      <c r="I59" s="11">
        <v>112374.17</v>
      </c>
      <c r="J59" s="11">
        <f>Kool!AY59</f>
        <v>0</v>
      </c>
      <c r="K59" s="12">
        <f t="shared" si="4"/>
        <v>4830682.370000001</v>
      </c>
      <c r="L59" s="11">
        <v>260183.78</v>
      </c>
      <c r="M59" s="11">
        <v>3937.5</v>
      </c>
      <c r="N59" s="11">
        <v>1661282.7899999991</v>
      </c>
      <c r="O59" s="11">
        <v>339135.06</v>
      </c>
      <c r="P59" s="11">
        <v>1479.08</v>
      </c>
      <c r="Q59" s="11">
        <v>4044330.3900000011</v>
      </c>
      <c r="R59" s="14">
        <v>195712.33</v>
      </c>
      <c r="S59" s="11">
        <f>Kool!AZ59</f>
        <v>0</v>
      </c>
      <c r="T59" s="12">
        <f t="shared" si="5"/>
        <v>5826311.7300000004</v>
      </c>
      <c r="U59" s="11">
        <v>781722.53999999992</v>
      </c>
      <c r="V59" s="11">
        <v>455891.3</v>
      </c>
      <c r="W59" s="11">
        <v>199239.19</v>
      </c>
      <c r="X59" s="11"/>
      <c r="Y59" s="11">
        <v>87253.7</v>
      </c>
      <c r="Z59" s="11">
        <v>177116</v>
      </c>
      <c r="AA59" s="11">
        <v>969472.97</v>
      </c>
      <c r="AB59" s="11">
        <v>622629.28</v>
      </c>
      <c r="AC59" s="11">
        <v>208539.11</v>
      </c>
      <c r="AD59" s="11"/>
      <c r="AE59" s="11">
        <v>89177.2</v>
      </c>
      <c r="AF59" s="11">
        <v>176399</v>
      </c>
      <c r="AG59" s="33">
        <v>457</v>
      </c>
      <c r="AH59" s="33">
        <v>271</v>
      </c>
      <c r="AI59" s="2">
        <f t="shared" si="6"/>
        <v>728</v>
      </c>
      <c r="AJ59" s="18">
        <f t="shared" si="7"/>
        <v>0.37225274725274726</v>
      </c>
      <c r="AK59" s="33">
        <v>438</v>
      </c>
      <c r="AL59" s="33">
        <v>255</v>
      </c>
      <c r="AM59" s="2">
        <f t="shared" si="8"/>
        <v>693</v>
      </c>
      <c r="AN59" s="18">
        <f t="shared" si="9"/>
        <v>0.36796536796536794</v>
      </c>
      <c r="AO59" s="2">
        <v>491</v>
      </c>
      <c r="AP59" s="2">
        <v>243</v>
      </c>
      <c r="AQ59" s="2">
        <f t="shared" si="10"/>
        <v>734</v>
      </c>
      <c r="AR59" s="18">
        <f t="shared" si="11"/>
        <v>0.33106267029972752</v>
      </c>
      <c r="AS59" s="34">
        <f t="shared" si="37"/>
        <v>716.33333333333326</v>
      </c>
      <c r="AT59" s="34">
        <f t="shared" si="38"/>
        <v>706.66666666666663</v>
      </c>
      <c r="AU59" s="34">
        <v>38</v>
      </c>
      <c r="AV59" s="34">
        <v>38</v>
      </c>
      <c r="AW59" s="34">
        <v>42</v>
      </c>
      <c r="AX59" s="34">
        <f t="shared" si="12"/>
        <v>38</v>
      </c>
      <c r="AY59" s="34">
        <f t="shared" si="13"/>
        <v>39.333333333333329</v>
      </c>
      <c r="AZ59" s="2">
        <f t="shared" si="14"/>
        <v>561.96863308515606</v>
      </c>
      <c r="BA59" s="2">
        <f t="shared" si="15"/>
        <v>442.89478245695688</v>
      </c>
      <c r="BB59" s="2">
        <f t="shared" si="16"/>
        <v>13.21343648208469</v>
      </c>
      <c r="BC59" s="2">
        <f t="shared" si="17"/>
        <v>105.86041414611449</v>
      </c>
      <c r="BD59" s="2">
        <f t="shared" si="39"/>
        <v>687.06506250000018</v>
      </c>
      <c r="BE59" s="2">
        <f t="shared" si="18"/>
        <v>476.925753537736</v>
      </c>
      <c r="BF59" s="2">
        <f t="shared" si="19"/>
        <v>23.25370400943396</v>
      </c>
      <c r="BG59" s="2">
        <f t="shared" si="20"/>
        <v>186.88560495283022</v>
      </c>
      <c r="BH59" s="2">
        <f t="shared" si="21"/>
        <v>450.42389832480239</v>
      </c>
      <c r="BI59" s="2">
        <f t="shared" si="22"/>
        <v>76.213412052117278</v>
      </c>
      <c r="BJ59" s="2">
        <f t="shared" si="23"/>
        <v>10.150500232666358</v>
      </c>
      <c r="BK59" s="2">
        <f t="shared" si="24"/>
        <v>25.180822475570025</v>
      </c>
      <c r="BL59" s="2">
        <f t="shared" si="40"/>
        <v>551.93865094339628</v>
      </c>
      <c r="BM59" s="20">
        <f t="shared" si="25"/>
        <v>98.015140330188686</v>
      </c>
      <c r="BN59" s="20">
        <f t="shared" si="26"/>
        <v>10.516179245283018</v>
      </c>
      <c r="BO59" s="2">
        <f t="shared" si="27"/>
        <v>26.595091981132192</v>
      </c>
      <c r="BP59" s="18">
        <f t="shared" si="28"/>
        <v>0.78811299489351438</v>
      </c>
      <c r="BQ59" s="18">
        <f t="shared" si="29"/>
        <v>0.6941493310726099</v>
      </c>
      <c r="BR59" s="18">
        <f t="shared" si="30"/>
        <v>0.13561862275784445</v>
      </c>
      <c r="BS59" s="18">
        <f t="shared" si="31"/>
        <v>0.14265772730976065</v>
      </c>
      <c r="BT59" s="29">
        <f>BD59/Kool!BJ59</f>
        <v>1.1889746456052492</v>
      </c>
      <c r="BU59" s="27">
        <v>18.829999999999998</v>
      </c>
      <c r="BV59" s="27">
        <v>18.21</v>
      </c>
      <c r="BW59" s="27">
        <f t="shared" si="32"/>
        <v>18.850877192982455</v>
      </c>
      <c r="BX59" s="27">
        <f t="shared" si="33"/>
        <v>17.966101694915256</v>
      </c>
      <c r="BY59" s="2">
        <v>1737.9125143184419</v>
      </c>
      <c r="BZ59" s="2">
        <v>1770.1764496620419</v>
      </c>
      <c r="CA59" s="2">
        <f>VLOOKUP(A59,'[1]kaugused autoga'!$A$3:$B$82,2,FALSE)</f>
        <v>1707.5</v>
      </c>
      <c r="CB59" s="29">
        <v>1.51</v>
      </c>
      <c r="CC59">
        <v>13206</v>
      </c>
      <c r="CD59" s="18">
        <v>0.99722105485962442</v>
      </c>
      <c r="CE59" t="s">
        <v>234</v>
      </c>
      <c r="CG59" s="27">
        <f t="shared" si="34"/>
        <v>17.966101694915256</v>
      </c>
      <c r="CH59" s="2">
        <f t="shared" si="35"/>
        <v>1770.1764496620419</v>
      </c>
      <c r="CI59" s="56">
        <f t="shared" si="36"/>
        <v>0.99722105485962442</v>
      </c>
    </row>
    <row r="60" spans="1:87" ht="14.25" customHeight="1" x14ac:dyDescent="0.35">
      <c r="A60" t="s">
        <v>133</v>
      </c>
      <c r="B60" s="10" t="s">
        <v>65</v>
      </c>
      <c r="C60" s="11">
        <v>6265.09</v>
      </c>
      <c r="D60" s="13"/>
      <c r="E60" s="11">
        <v>71274.400000000023</v>
      </c>
      <c r="F60" s="11">
        <v>6373</v>
      </c>
      <c r="G60" s="11"/>
      <c r="H60" s="11">
        <v>442966.3</v>
      </c>
      <c r="I60" s="11">
        <v>47996</v>
      </c>
      <c r="J60" s="11">
        <f>Kool!AY60</f>
        <v>0</v>
      </c>
      <c r="K60" s="12">
        <f t="shared" si="4"/>
        <v>562128.79</v>
      </c>
      <c r="L60" s="11">
        <v>8563.83</v>
      </c>
      <c r="M60" s="13"/>
      <c r="N60" s="11">
        <v>83413.45</v>
      </c>
      <c r="O60" s="11">
        <v>8857</v>
      </c>
      <c r="P60" s="11"/>
      <c r="Q60" s="11">
        <v>456851.99</v>
      </c>
      <c r="R60" s="11">
        <v>47996</v>
      </c>
      <c r="S60" s="11">
        <f>Kool!AZ60</f>
        <v>0</v>
      </c>
      <c r="T60" s="12">
        <f t="shared" si="5"/>
        <v>587968.27</v>
      </c>
      <c r="U60" s="11">
        <v>24923.65</v>
      </c>
      <c r="V60" s="11">
        <v>13008.66</v>
      </c>
      <c r="W60" s="11">
        <v>11639.99</v>
      </c>
      <c r="X60" s="11"/>
      <c r="Y60" s="11"/>
      <c r="Z60" s="11">
        <v>16398</v>
      </c>
      <c r="AA60" s="11">
        <v>24880.53</v>
      </c>
      <c r="AB60" s="11">
        <v>12118.58</v>
      </c>
      <c r="AC60" s="11">
        <v>11158.75</v>
      </c>
      <c r="AD60" s="11"/>
      <c r="AE60" s="11"/>
      <c r="AF60" s="11">
        <v>15916</v>
      </c>
      <c r="AG60" s="33">
        <v>61</v>
      </c>
      <c r="AH60" s="33">
        <v>0</v>
      </c>
      <c r="AI60" s="2">
        <f t="shared" si="6"/>
        <v>61</v>
      </c>
      <c r="AJ60" s="18">
        <f t="shared" si="7"/>
        <v>0</v>
      </c>
      <c r="AK60" s="33">
        <v>55</v>
      </c>
      <c r="AL60" s="33">
        <v>0</v>
      </c>
      <c r="AM60" s="2">
        <f t="shared" si="8"/>
        <v>55</v>
      </c>
      <c r="AN60" s="18">
        <f t="shared" si="9"/>
        <v>0</v>
      </c>
      <c r="AO60" s="2">
        <v>52</v>
      </c>
      <c r="AP60" s="2">
        <v>0</v>
      </c>
      <c r="AQ60" s="2">
        <f t="shared" si="10"/>
        <v>52</v>
      </c>
      <c r="AR60" s="18">
        <f t="shared" si="11"/>
        <v>0</v>
      </c>
      <c r="AS60" s="34">
        <f t="shared" si="37"/>
        <v>59</v>
      </c>
      <c r="AT60" s="34">
        <f t="shared" si="38"/>
        <v>54</v>
      </c>
      <c r="AU60" s="34">
        <v>4</v>
      </c>
      <c r="AV60" s="34">
        <v>4</v>
      </c>
      <c r="AW60" s="34">
        <v>4</v>
      </c>
      <c r="AX60" s="34">
        <f t="shared" si="12"/>
        <v>4</v>
      </c>
      <c r="AY60" s="34">
        <f t="shared" si="13"/>
        <v>4</v>
      </c>
      <c r="AZ60" s="2">
        <f t="shared" si="14"/>
        <v>793.9672175141244</v>
      </c>
      <c r="BA60" s="2">
        <f t="shared" si="15"/>
        <v>625.65861581920899</v>
      </c>
      <c r="BB60" s="2">
        <f t="shared" si="16"/>
        <v>67.790960451977398</v>
      </c>
      <c r="BC60" s="2">
        <f t="shared" si="17"/>
        <v>100.51764124293801</v>
      </c>
      <c r="BD60" s="2">
        <f t="shared" si="39"/>
        <v>907.35844135802472</v>
      </c>
      <c r="BE60" s="2">
        <f t="shared" si="18"/>
        <v>705.01850308641963</v>
      </c>
      <c r="BF60" s="2">
        <f t="shared" si="19"/>
        <v>74.067901234567898</v>
      </c>
      <c r="BG60" s="2">
        <f t="shared" si="20"/>
        <v>128.27203703703719</v>
      </c>
      <c r="BH60" s="2">
        <f t="shared" si="21"/>
        <v>735.60330508474578</v>
      </c>
      <c r="BI60" s="2">
        <f t="shared" si="22"/>
        <v>34.814477401129942</v>
      </c>
      <c r="BJ60" s="2">
        <f t="shared" si="23"/>
        <v>0</v>
      </c>
      <c r="BK60" s="2">
        <f t="shared" si="24"/>
        <v>23.549435028248674</v>
      </c>
      <c r="BL60" s="2">
        <f t="shared" si="40"/>
        <v>844.40083333333325</v>
      </c>
      <c r="BM60" s="20">
        <f t="shared" si="25"/>
        <v>35.921805555555558</v>
      </c>
      <c r="BN60" s="20">
        <f t="shared" si="26"/>
        <v>0</v>
      </c>
      <c r="BO60" s="2">
        <f t="shared" si="27"/>
        <v>27.035802469135909</v>
      </c>
      <c r="BP60" s="18">
        <f t="shared" si="28"/>
        <v>0.78801567875575262</v>
      </c>
      <c r="BQ60" s="18">
        <f t="shared" si="29"/>
        <v>0.77700109565436226</v>
      </c>
      <c r="BR60" s="18">
        <f t="shared" si="30"/>
        <v>4.3848759285216463E-2</v>
      </c>
      <c r="BS60" s="18">
        <f t="shared" si="31"/>
        <v>3.9589432266472477E-2</v>
      </c>
      <c r="BT60" s="29">
        <f>BD60/Kool!BJ60</f>
        <v>1.1903085771088939</v>
      </c>
      <c r="BU60" s="27">
        <v>13.75</v>
      </c>
      <c r="BV60" s="27">
        <v>13</v>
      </c>
      <c r="BW60" s="27">
        <f t="shared" si="32"/>
        <v>14.75</v>
      </c>
      <c r="BX60" s="27">
        <f t="shared" si="33"/>
        <v>13.5</v>
      </c>
      <c r="BY60" s="2">
        <v>1844.9337735094041</v>
      </c>
      <c r="BZ60" s="2">
        <v>1813.3136839983879</v>
      </c>
      <c r="CA60" s="2">
        <f>VLOOKUP(A60,'[1]kaugused autoga'!$A$3:$B$82,2,FALSE)</f>
        <v>5665.6</v>
      </c>
      <c r="CB60" s="29">
        <v>2.09</v>
      </c>
      <c r="CC60">
        <v>2092</v>
      </c>
      <c r="CD60" s="18">
        <v>1.1896597328725211</v>
      </c>
      <c r="CE60" t="s">
        <v>232</v>
      </c>
      <c r="CG60" s="27">
        <f t="shared" si="34"/>
        <v>13.5</v>
      </c>
      <c r="CH60" s="2">
        <f t="shared" si="35"/>
        <v>1813.3136839983879</v>
      </c>
      <c r="CI60" s="56">
        <f t="shared" si="36"/>
        <v>1.1896597328725211</v>
      </c>
    </row>
    <row r="61" spans="1:87" ht="14.25" customHeight="1" x14ac:dyDescent="0.35">
      <c r="A61" t="s">
        <v>167</v>
      </c>
      <c r="B61" s="10"/>
      <c r="C61" s="11"/>
      <c r="D61" s="13"/>
      <c r="E61" s="11"/>
      <c r="G61" s="11"/>
      <c r="H61" s="11"/>
      <c r="I61" s="11"/>
      <c r="J61" s="11">
        <f>Kool!AY61</f>
        <v>0</v>
      </c>
      <c r="K61" s="12">
        <f t="shared" si="4"/>
        <v>0</v>
      </c>
      <c r="L61" s="11"/>
      <c r="M61" s="13"/>
      <c r="N61" s="11"/>
      <c r="P61" s="11"/>
      <c r="Q61" s="11"/>
      <c r="R61" s="11"/>
      <c r="S61" s="11">
        <f>Kool!AZ61</f>
        <v>0</v>
      </c>
      <c r="T61" s="12">
        <f t="shared" si="5"/>
        <v>0</v>
      </c>
      <c r="V61" s="11"/>
      <c r="W61" s="11"/>
      <c r="X61" s="11"/>
      <c r="Y61" s="11"/>
      <c r="Z61" s="11"/>
      <c r="AB61" s="11"/>
      <c r="AC61" s="11"/>
      <c r="AD61" s="11"/>
      <c r="AE61" s="11"/>
      <c r="AF61" s="11"/>
      <c r="AG61" s="33"/>
      <c r="AH61" s="33"/>
      <c r="AI61" s="2"/>
      <c r="AJ61" s="18"/>
      <c r="AK61" s="33"/>
      <c r="AL61" s="33"/>
      <c r="AM61" s="2"/>
      <c r="AN61" s="18"/>
      <c r="AO61" s="2"/>
      <c r="AP61" s="2"/>
      <c r="AQ61" s="2"/>
      <c r="AR61" s="18"/>
      <c r="AS61" s="34">
        <f t="shared" si="37"/>
        <v>0</v>
      </c>
      <c r="AT61" s="34">
        <f t="shared" si="38"/>
        <v>0</v>
      </c>
      <c r="AU61" s="34">
        <v>0</v>
      </c>
      <c r="AV61" s="34">
        <v>0</v>
      </c>
      <c r="AW61" s="34">
        <v>0</v>
      </c>
      <c r="AX61" s="34">
        <f t="shared" si="12"/>
        <v>0</v>
      </c>
      <c r="AY61" s="34">
        <f t="shared" si="13"/>
        <v>0</v>
      </c>
      <c r="AZ61" s="2"/>
      <c r="BA61" s="2"/>
      <c r="BB61" s="2"/>
      <c r="BC61" s="2"/>
      <c r="BD61" s="2"/>
      <c r="BE61" s="2"/>
      <c r="BF61" s="2"/>
      <c r="BG61" s="2"/>
      <c r="BH61" s="2"/>
      <c r="BI61" s="2"/>
      <c r="BJ61" s="2"/>
      <c r="BK61" s="2"/>
      <c r="BL61" s="2"/>
      <c r="BM61" s="20"/>
      <c r="BN61" s="20"/>
      <c r="BO61" s="2"/>
      <c r="BP61" s="18"/>
      <c r="BQ61" s="18"/>
      <c r="BR61" s="18" t="e">
        <f t="shared" si="30"/>
        <v>#DIV/0!</v>
      </c>
      <c r="BS61" s="18" t="e">
        <f t="shared" si="31"/>
        <v>#DIV/0!</v>
      </c>
      <c r="BT61" s="29">
        <f>BD61/Kool!BJ61</f>
        <v>0</v>
      </c>
      <c r="BU61" s="27"/>
      <c r="BV61" s="27"/>
      <c r="BW61" s="27"/>
      <c r="BX61" s="27"/>
      <c r="BY61" s="2"/>
      <c r="BZ61" s="2"/>
      <c r="CA61" s="2"/>
      <c r="CB61" s="29">
        <v>2.1</v>
      </c>
      <c r="CC61">
        <v>163</v>
      </c>
      <c r="CD61" s="18">
        <v>1.2006201932333251</v>
      </c>
      <c r="CE61" t="s">
        <v>232</v>
      </c>
      <c r="CG61" s="27">
        <f t="shared" si="34"/>
        <v>0</v>
      </c>
      <c r="CH61" s="2">
        <f t="shared" si="35"/>
        <v>0</v>
      </c>
      <c r="CI61" s="56">
        <f t="shared" si="36"/>
        <v>1.2006201932333251</v>
      </c>
    </row>
    <row r="62" spans="1:87" ht="14.25" customHeight="1" x14ac:dyDescent="0.35">
      <c r="A62" t="s">
        <v>110</v>
      </c>
      <c r="B62" s="10" t="s">
        <v>66</v>
      </c>
      <c r="C62" s="11">
        <v>217711.74</v>
      </c>
      <c r="D62" s="11">
        <v>1881.49</v>
      </c>
      <c r="E62" s="11">
        <v>1145507.8700000001</v>
      </c>
      <c r="F62" s="11">
        <v>71145.759999999995</v>
      </c>
      <c r="G62" s="11">
        <v>8604.7200000000012</v>
      </c>
      <c r="H62" s="11">
        <v>7548982.7999999998</v>
      </c>
      <c r="I62" s="11">
        <v>914538.42</v>
      </c>
      <c r="J62" s="11">
        <f>Kool!AY62</f>
        <v>269974.85985736927</v>
      </c>
      <c r="K62" s="12">
        <f t="shared" si="4"/>
        <v>10027451.41985737</v>
      </c>
      <c r="L62" s="11">
        <v>209191.66</v>
      </c>
      <c r="M62" s="11">
        <v>3709.8</v>
      </c>
      <c r="N62" s="11">
        <v>1450328.11</v>
      </c>
      <c r="O62" s="11">
        <v>480775.5</v>
      </c>
      <c r="P62" s="11">
        <v>3683.5</v>
      </c>
      <c r="Q62" s="11">
        <v>7806529.3100000024</v>
      </c>
      <c r="R62" s="11">
        <v>815362.95999999985</v>
      </c>
      <c r="S62" s="11">
        <f>Kool!AZ62</f>
        <v>297903.38689239876</v>
      </c>
      <c r="T62" s="12">
        <f t="shared" si="5"/>
        <v>10102249.726892401</v>
      </c>
      <c r="U62" s="11">
        <v>905633</v>
      </c>
      <c r="V62" s="11">
        <v>532014.81000000006</v>
      </c>
      <c r="W62" s="11">
        <v>265535.57</v>
      </c>
      <c r="X62" s="11"/>
      <c r="Y62" s="11">
        <v>55183</v>
      </c>
      <c r="Z62" s="11">
        <v>526454</v>
      </c>
      <c r="AA62" s="11">
        <v>943862.8</v>
      </c>
      <c r="AB62" s="11">
        <v>546350.78</v>
      </c>
      <c r="AC62" s="11">
        <v>295178.53999999998</v>
      </c>
      <c r="AD62" s="11"/>
      <c r="AE62" s="11">
        <v>69293</v>
      </c>
      <c r="AF62" s="11">
        <v>531473</v>
      </c>
      <c r="AG62" s="33">
        <v>1246</v>
      </c>
      <c r="AH62" s="33">
        <v>195</v>
      </c>
      <c r="AI62" s="2">
        <f t="shared" si="6"/>
        <v>1441</v>
      </c>
      <c r="AJ62" s="18">
        <f t="shared" si="7"/>
        <v>0.13532269257460097</v>
      </c>
      <c r="AK62" s="33">
        <v>1269</v>
      </c>
      <c r="AL62" s="33">
        <v>201</v>
      </c>
      <c r="AM62" s="2">
        <f t="shared" si="8"/>
        <v>1470</v>
      </c>
      <c r="AN62" s="18">
        <f t="shared" si="9"/>
        <v>0.13673469387755102</v>
      </c>
      <c r="AO62" s="2">
        <v>1234</v>
      </c>
      <c r="AP62" s="2">
        <v>191</v>
      </c>
      <c r="AQ62" s="2">
        <f t="shared" si="10"/>
        <v>1425</v>
      </c>
      <c r="AR62" s="18">
        <f t="shared" si="11"/>
        <v>0.13403508771929826</v>
      </c>
      <c r="AS62" s="34">
        <f t="shared" si="37"/>
        <v>1450.6666666666665</v>
      </c>
      <c r="AT62" s="34">
        <f t="shared" si="38"/>
        <v>1455</v>
      </c>
      <c r="AU62" s="34">
        <v>86</v>
      </c>
      <c r="AV62" s="34">
        <v>89</v>
      </c>
      <c r="AW62" s="34">
        <v>89</v>
      </c>
      <c r="AX62" s="34">
        <f t="shared" si="12"/>
        <v>87</v>
      </c>
      <c r="AY62" s="34">
        <f t="shared" si="13"/>
        <v>89</v>
      </c>
      <c r="AZ62" s="2">
        <f t="shared" si="14"/>
        <v>576.02547218849793</v>
      </c>
      <c r="BA62" s="2">
        <f t="shared" si="15"/>
        <v>433.65020680147063</v>
      </c>
      <c r="BB62" s="2">
        <f t="shared" si="16"/>
        <v>53.029821920955889</v>
      </c>
      <c r="BC62" s="2">
        <f t="shared" si="17"/>
        <v>89.345443466071401</v>
      </c>
      <c r="BD62" s="2">
        <f t="shared" ref="BD62:BD68" si="41">T62/AT62/12</f>
        <v>578.59391333862538</v>
      </c>
      <c r="BE62" s="2">
        <f t="shared" si="18"/>
        <v>447.10935337915248</v>
      </c>
      <c r="BF62" s="2">
        <f t="shared" si="19"/>
        <v>46.909877434135154</v>
      </c>
      <c r="BG62" s="2">
        <f t="shared" si="20"/>
        <v>84.574682525337749</v>
      </c>
      <c r="BH62" s="2">
        <f t="shared" si="21"/>
        <v>493.75944507452726</v>
      </c>
      <c r="BI62" s="2">
        <f t="shared" si="22"/>
        <v>45.815164292279427</v>
      </c>
      <c r="BJ62" s="2">
        <f t="shared" si="23"/>
        <v>3.1699793198529416</v>
      </c>
      <c r="BK62" s="2">
        <f t="shared" si="24"/>
        <v>33.280883501838296</v>
      </c>
      <c r="BL62" s="2">
        <f t="shared" ref="BL62:BL83" si="42">(T62-AA62-AF62)/AT62/12</f>
        <v>494.09587210151199</v>
      </c>
      <c r="BM62" s="20">
        <f t="shared" si="25"/>
        <v>48.19755555555556</v>
      </c>
      <c r="BN62" s="20">
        <f t="shared" si="26"/>
        <v>3.9686712485681555</v>
      </c>
      <c r="BO62" s="2">
        <f t="shared" si="27"/>
        <v>32.331814432989681</v>
      </c>
      <c r="BP62" s="18">
        <f t="shared" si="28"/>
        <v>0.7528316502287653</v>
      </c>
      <c r="BQ62" s="18">
        <f t="shared" si="29"/>
        <v>0.77275156732849903</v>
      </c>
      <c r="BR62" s="18">
        <f t="shared" si="30"/>
        <v>7.9536698469624148E-2</v>
      </c>
      <c r="BS62" s="18">
        <f t="shared" si="31"/>
        <v>8.3301179712458651E-2</v>
      </c>
      <c r="BT62" s="29">
        <f>BD62/Kool!BJ62</f>
        <v>1.0343322016101268</v>
      </c>
      <c r="BU62" s="27">
        <v>16.55</v>
      </c>
      <c r="BV62" s="27">
        <v>16.03</v>
      </c>
      <c r="BW62" s="27">
        <f t="shared" si="32"/>
        <v>16.674329501915707</v>
      </c>
      <c r="BX62" s="27">
        <f t="shared" si="33"/>
        <v>16.348314606741575</v>
      </c>
      <c r="BY62" s="2">
        <v>1687.3962008666051</v>
      </c>
      <c r="BZ62" s="2">
        <v>1705.9658405589309</v>
      </c>
      <c r="CA62" s="2">
        <f>VLOOKUP(A62,'[1]kaugused autoga'!$A$3:$B$82,2,FALSE)</f>
        <v>3217.9</v>
      </c>
      <c r="CB62" s="29">
        <v>1.53</v>
      </c>
      <c r="CC62">
        <v>32075</v>
      </c>
      <c r="CD62" s="18">
        <v>1.0011488875991763</v>
      </c>
      <c r="CE62" t="s">
        <v>234</v>
      </c>
      <c r="CG62" s="27">
        <f t="shared" si="34"/>
        <v>16.348314606741575</v>
      </c>
      <c r="CH62" s="2">
        <f t="shared" si="35"/>
        <v>1705.9658405589309</v>
      </c>
      <c r="CI62" s="56">
        <f t="shared" si="36"/>
        <v>1.0011488875991763</v>
      </c>
    </row>
    <row r="63" spans="1:87" ht="14.25" customHeight="1" x14ac:dyDescent="0.35">
      <c r="A63" t="s">
        <v>151</v>
      </c>
      <c r="B63" s="10" t="s">
        <v>67</v>
      </c>
      <c r="C63" s="11">
        <v>327238.65000000002</v>
      </c>
      <c r="D63" s="11">
        <v>410.87</v>
      </c>
      <c r="E63" s="11">
        <v>3541156.38</v>
      </c>
      <c r="F63" s="11">
        <v>1928712.84</v>
      </c>
      <c r="G63" s="11">
        <v>404723.20000000001</v>
      </c>
      <c r="H63" s="11">
        <v>6492577.2100000009</v>
      </c>
      <c r="I63" s="11">
        <v>388752.98</v>
      </c>
      <c r="J63" s="11">
        <f>Kool!AY63</f>
        <v>53107.221047845036</v>
      </c>
      <c r="K63" s="12">
        <f t="shared" si="4"/>
        <v>8874530.4710478466</v>
      </c>
      <c r="L63" s="11">
        <v>322152.62</v>
      </c>
      <c r="M63" s="11">
        <v>-308.02999999999997</v>
      </c>
      <c r="N63" s="11">
        <v>3262058.09</v>
      </c>
      <c r="O63" s="11">
        <v>1771446</v>
      </c>
      <c r="P63" s="11">
        <v>333396.69</v>
      </c>
      <c r="Q63" s="11">
        <v>7064151.4899999993</v>
      </c>
      <c r="R63" s="11">
        <v>389051.82</v>
      </c>
      <c r="S63" s="11">
        <f>Kool!AZ63</f>
        <v>48526.875840179222</v>
      </c>
      <c r="T63" s="12">
        <f t="shared" si="5"/>
        <v>9314186.865840178</v>
      </c>
      <c r="U63" s="11">
        <v>1254690.83</v>
      </c>
      <c r="V63" s="11">
        <v>589260.79</v>
      </c>
      <c r="W63" s="11">
        <v>344387.22</v>
      </c>
      <c r="X63" s="11"/>
      <c r="Y63" s="11">
        <v>198346.27</v>
      </c>
      <c r="Z63" s="11">
        <v>134632</v>
      </c>
      <c r="AA63" s="11">
        <v>1371554.57</v>
      </c>
      <c r="AB63" s="11">
        <v>687398.55</v>
      </c>
      <c r="AC63" s="11">
        <v>388959.55</v>
      </c>
      <c r="AD63" s="11"/>
      <c r="AE63" s="11">
        <v>266009.78000000003</v>
      </c>
      <c r="AF63" s="11">
        <v>140885</v>
      </c>
      <c r="AG63" s="33">
        <v>927</v>
      </c>
      <c r="AH63" s="33">
        <v>45</v>
      </c>
      <c r="AI63" s="2">
        <f t="shared" si="6"/>
        <v>972</v>
      </c>
      <c r="AJ63" s="18">
        <f t="shared" si="7"/>
        <v>4.6296296296296294E-2</v>
      </c>
      <c r="AK63" s="33">
        <v>982</v>
      </c>
      <c r="AL63" s="33">
        <v>49</v>
      </c>
      <c r="AM63" s="2">
        <f t="shared" si="8"/>
        <v>1031</v>
      </c>
      <c r="AN63" s="18">
        <f t="shared" si="9"/>
        <v>4.7526673132880698E-2</v>
      </c>
      <c r="AO63" s="2">
        <v>946</v>
      </c>
      <c r="AP63" s="2">
        <v>52</v>
      </c>
      <c r="AQ63" s="2">
        <f t="shared" si="10"/>
        <v>998</v>
      </c>
      <c r="AR63" s="18">
        <f t="shared" si="11"/>
        <v>5.2104208416833664E-2</v>
      </c>
      <c r="AS63" s="34">
        <f t="shared" si="37"/>
        <v>991.66666666666674</v>
      </c>
      <c r="AT63" s="34">
        <f t="shared" si="38"/>
        <v>1020</v>
      </c>
      <c r="AU63" s="34">
        <v>55</v>
      </c>
      <c r="AV63" s="34">
        <v>59</v>
      </c>
      <c r="AW63" s="34">
        <v>59</v>
      </c>
      <c r="AX63" s="34">
        <f t="shared" si="12"/>
        <v>56.333333333333329</v>
      </c>
      <c r="AY63" s="34">
        <f t="shared" si="13"/>
        <v>59</v>
      </c>
      <c r="AZ63" s="2">
        <f t="shared" si="14"/>
        <v>745.7588631132644</v>
      </c>
      <c r="BA63" s="2">
        <f t="shared" si="15"/>
        <v>545.59472352941179</v>
      </c>
      <c r="BB63" s="2">
        <f t="shared" si="16"/>
        <v>66.678670588235278</v>
      </c>
      <c r="BC63" s="2">
        <f t="shared" si="17"/>
        <v>133.48546899561734</v>
      </c>
      <c r="BD63" s="2">
        <f t="shared" si="41"/>
        <v>760.96297923530858</v>
      </c>
      <c r="BE63" s="2">
        <f t="shared" si="18"/>
        <v>577.13655964052282</v>
      </c>
      <c r="BF63" s="2">
        <f t="shared" si="19"/>
        <v>59.023571078431367</v>
      </c>
      <c r="BG63" s="2">
        <f t="shared" si="20"/>
        <v>124.8028485163544</v>
      </c>
      <c r="BH63" s="2">
        <f t="shared" si="21"/>
        <v>629.00904546620552</v>
      </c>
      <c r="BI63" s="2">
        <f t="shared" si="22"/>
        <v>78.457815966386548</v>
      </c>
      <c r="BJ63" s="2">
        <f t="shared" si="23"/>
        <v>16.667753781512605</v>
      </c>
      <c r="BK63" s="2">
        <f t="shared" si="24"/>
        <v>21.624247899159723</v>
      </c>
      <c r="BL63" s="2">
        <f t="shared" si="42"/>
        <v>637.39765488890339</v>
      </c>
      <c r="BM63" s="20">
        <f t="shared" si="25"/>
        <v>87.937753267973861</v>
      </c>
      <c r="BN63" s="20">
        <f t="shared" si="26"/>
        <v>21.732825163398697</v>
      </c>
      <c r="BO63" s="2">
        <f t="shared" si="27"/>
        <v>13.894745915032633</v>
      </c>
      <c r="BP63" s="18">
        <f t="shared" si="28"/>
        <v>0.73159670037545088</v>
      </c>
      <c r="BQ63" s="18">
        <f t="shared" si="29"/>
        <v>0.75842922111728373</v>
      </c>
      <c r="BR63" s="18">
        <f t="shared" si="30"/>
        <v>0.10520534162859896</v>
      </c>
      <c r="BS63" s="18">
        <f t="shared" si="31"/>
        <v>0.11556114511160907</v>
      </c>
      <c r="BT63" s="29">
        <f>BD63/Kool!BJ63</f>
        <v>1.5665973426463984</v>
      </c>
      <c r="BU63" s="27">
        <v>17.670000000000002</v>
      </c>
      <c r="BV63" s="27">
        <v>17.37</v>
      </c>
      <c r="BW63" s="27">
        <f t="shared" si="32"/>
        <v>17.603550295857993</v>
      </c>
      <c r="BX63" s="27">
        <f t="shared" si="33"/>
        <v>17.288135593220339</v>
      </c>
      <c r="BY63" s="2">
        <v>1745.4684494487451</v>
      </c>
      <c r="BZ63" s="2">
        <v>1727.736329796337</v>
      </c>
      <c r="CA63" s="2">
        <f>VLOOKUP(A63,'[1]kaugused autoga'!$A$3:$B$82,2,FALSE)</f>
        <v>2030.7</v>
      </c>
      <c r="CB63" s="29">
        <v>1.27</v>
      </c>
      <c r="CC63">
        <v>14095</v>
      </c>
      <c r="CD63" s="18">
        <v>0.99783526581446513</v>
      </c>
      <c r="CE63" t="s">
        <v>234</v>
      </c>
      <c r="CG63" s="27">
        <f t="shared" si="34"/>
        <v>17.288135593220339</v>
      </c>
      <c r="CH63" s="2">
        <f t="shared" si="35"/>
        <v>1727.736329796337</v>
      </c>
      <c r="CI63" s="56">
        <f t="shared" si="36"/>
        <v>0.99783526581446513</v>
      </c>
    </row>
    <row r="64" spans="1:87" ht="14.25" customHeight="1" x14ac:dyDescent="0.35">
      <c r="A64" t="s">
        <v>139</v>
      </c>
      <c r="B64" s="10" t="s">
        <v>68</v>
      </c>
      <c r="C64" s="11">
        <v>89574.57</v>
      </c>
      <c r="D64" s="11">
        <v>1167.8</v>
      </c>
      <c r="E64" s="11">
        <v>1115975.7599999991</v>
      </c>
      <c r="F64" s="11">
        <v>639649.92000000004</v>
      </c>
      <c r="G64" s="11">
        <v>3816</v>
      </c>
      <c r="H64" s="11">
        <v>2428749.46</v>
      </c>
      <c r="I64" s="11">
        <v>208482.31</v>
      </c>
      <c r="J64" s="11">
        <f>Kool!AY64</f>
        <v>0</v>
      </c>
      <c r="K64" s="12">
        <f t="shared" si="4"/>
        <v>3204299.9799999991</v>
      </c>
      <c r="L64" s="11">
        <v>106565.67</v>
      </c>
      <c r="M64" s="11">
        <v>3758.22</v>
      </c>
      <c r="N64" s="11">
        <v>1004630.99</v>
      </c>
      <c r="O64" s="11">
        <v>446587.79</v>
      </c>
      <c r="P64" s="11">
        <v>3953.25</v>
      </c>
      <c r="Q64" s="11">
        <v>2752193.96</v>
      </c>
      <c r="R64" s="11">
        <v>169152.71</v>
      </c>
      <c r="S64" s="11">
        <f>Kool!AZ64</f>
        <v>0</v>
      </c>
      <c r="T64" s="12">
        <f t="shared" si="5"/>
        <v>3589713.76</v>
      </c>
      <c r="U64" s="11">
        <v>471453.18000000011</v>
      </c>
      <c r="V64" s="11">
        <v>231569.95</v>
      </c>
      <c r="W64" s="11">
        <v>155902.63</v>
      </c>
      <c r="X64" s="11"/>
      <c r="Y64" s="11">
        <v>70717</v>
      </c>
      <c r="Z64" s="11">
        <v>77340</v>
      </c>
      <c r="AA64" s="11">
        <v>590088.1399999999</v>
      </c>
      <c r="AB64" s="11">
        <v>312195.98</v>
      </c>
      <c r="AC64" s="11">
        <v>178351.68</v>
      </c>
      <c r="AD64" s="11"/>
      <c r="AE64" s="11">
        <v>94080</v>
      </c>
      <c r="AF64" s="11">
        <v>79219</v>
      </c>
      <c r="AG64" s="33">
        <v>366</v>
      </c>
      <c r="AH64" s="33">
        <v>0</v>
      </c>
      <c r="AI64" s="2">
        <f t="shared" si="6"/>
        <v>366</v>
      </c>
      <c r="AJ64" s="18">
        <f t="shared" si="7"/>
        <v>0</v>
      </c>
      <c r="AK64" s="33">
        <v>411</v>
      </c>
      <c r="AL64" s="33">
        <v>0</v>
      </c>
      <c r="AM64" s="2">
        <f t="shared" si="8"/>
        <v>411</v>
      </c>
      <c r="AN64" s="18">
        <f t="shared" si="9"/>
        <v>0</v>
      </c>
      <c r="AO64" s="2">
        <v>426</v>
      </c>
      <c r="AP64" s="2">
        <v>0</v>
      </c>
      <c r="AQ64" s="2">
        <f t="shared" si="10"/>
        <v>426</v>
      </c>
      <c r="AR64" s="18">
        <f t="shared" si="11"/>
        <v>0</v>
      </c>
      <c r="AS64" s="34">
        <f t="shared" si="37"/>
        <v>381</v>
      </c>
      <c r="AT64" s="34">
        <f t="shared" si="38"/>
        <v>416</v>
      </c>
      <c r="AU64" s="34">
        <v>21</v>
      </c>
      <c r="AV64" s="34">
        <v>23</v>
      </c>
      <c r="AW64" s="34">
        <v>25</v>
      </c>
      <c r="AX64" s="34">
        <f t="shared" si="12"/>
        <v>21.666666666666668</v>
      </c>
      <c r="AY64" s="34">
        <f t="shared" si="13"/>
        <v>23.666666666666668</v>
      </c>
      <c r="AZ64" s="2">
        <f t="shared" si="14"/>
        <v>700.85301399825005</v>
      </c>
      <c r="BA64" s="2">
        <f t="shared" si="15"/>
        <v>531.22254155730536</v>
      </c>
      <c r="BB64" s="2">
        <f t="shared" si="16"/>
        <v>46.434451006124227</v>
      </c>
      <c r="BC64" s="2">
        <f t="shared" si="17"/>
        <v>123.19602143482047</v>
      </c>
      <c r="BD64" s="2">
        <f t="shared" si="41"/>
        <v>719.09330128205113</v>
      </c>
      <c r="BE64" s="2">
        <f t="shared" si="18"/>
        <v>551.32090544871801</v>
      </c>
      <c r="BF64" s="2">
        <f t="shared" si="19"/>
        <v>34.676674679487178</v>
      </c>
      <c r="BG64" s="2">
        <f t="shared" si="20"/>
        <v>133.09572115384594</v>
      </c>
      <c r="BH64" s="2">
        <f t="shared" si="21"/>
        <v>580.81951006124211</v>
      </c>
      <c r="BI64" s="2">
        <f t="shared" si="22"/>
        <v>84.749033245844274</v>
      </c>
      <c r="BJ64" s="2">
        <f t="shared" si="23"/>
        <v>15.467410323709537</v>
      </c>
      <c r="BK64" s="2">
        <f t="shared" si="24"/>
        <v>19.817060367454125</v>
      </c>
      <c r="BL64" s="2">
        <f t="shared" si="42"/>
        <v>585.01735176282057</v>
      </c>
      <c r="BM64" s="20">
        <f t="shared" si="25"/>
        <v>98.266758814102559</v>
      </c>
      <c r="BN64" s="20">
        <f t="shared" si="26"/>
        <v>18.846153846153847</v>
      </c>
      <c r="BO64" s="2">
        <f t="shared" si="27"/>
        <v>16.963036858974156</v>
      </c>
      <c r="BP64" s="18">
        <f t="shared" si="28"/>
        <v>0.75796569458518692</v>
      </c>
      <c r="BQ64" s="18">
        <f t="shared" si="29"/>
        <v>0.76668897410917825</v>
      </c>
      <c r="BR64" s="18">
        <f t="shared" si="30"/>
        <v>0.12092269213820615</v>
      </c>
      <c r="BS64" s="18">
        <f t="shared" si="31"/>
        <v>0.13665369798175778</v>
      </c>
      <c r="BT64" s="29">
        <f>BD64/Kool!BJ64</f>
        <v>1.4814185964245192</v>
      </c>
      <c r="BU64" s="27">
        <v>18.27</v>
      </c>
      <c r="BV64" s="27">
        <v>17.46</v>
      </c>
      <c r="BW64" s="27">
        <f t="shared" si="32"/>
        <v>17.584615384615383</v>
      </c>
      <c r="BX64" s="27">
        <f t="shared" si="33"/>
        <v>17.577464788732392</v>
      </c>
      <c r="BY64" s="2">
        <v>1633.8193111111109</v>
      </c>
      <c r="BZ64" s="2">
        <v>1762.1491272665651</v>
      </c>
      <c r="CA64" s="2">
        <f>VLOOKUP(A64,'[1]kaugused autoga'!$A$3:$B$82,2,FALSE)</f>
        <v>2835.6</v>
      </c>
      <c r="CB64" s="29">
        <v>1.45</v>
      </c>
      <c r="CC64">
        <v>6063</v>
      </c>
      <c r="CD64" s="18">
        <v>1.0003340134343517</v>
      </c>
      <c r="CE64" t="s">
        <v>234</v>
      </c>
      <c r="CG64" s="27">
        <f t="shared" si="34"/>
        <v>17.577464788732392</v>
      </c>
      <c r="CH64" s="2">
        <f t="shared" si="35"/>
        <v>1762.1491272665651</v>
      </c>
      <c r="CI64" s="56">
        <f t="shared" si="36"/>
        <v>1.0003340134343517</v>
      </c>
    </row>
    <row r="65" spans="1:87" ht="14.25" customHeight="1" x14ac:dyDescent="0.35">
      <c r="A65" t="s">
        <v>127</v>
      </c>
      <c r="B65" s="10" t="s">
        <v>69</v>
      </c>
      <c r="C65" s="11">
        <v>105236.68</v>
      </c>
      <c r="D65" s="11">
        <v>569.89</v>
      </c>
      <c r="E65" s="11">
        <v>677449.20000000007</v>
      </c>
      <c r="F65" s="11">
        <v>170663.29</v>
      </c>
      <c r="G65" s="11"/>
      <c r="H65" s="11">
        <v>1702177.92</v>
      </c>
      <c r="I65" s="11">
        <v>117985.1</v>
      </c>
      <c r="J65" s="11">
        <f>Kool!AY65</f>
        <v>0</v>
      </c>
      <c r="K65" s="12">
        <f t="shared" si="4"/>
        <v>2432755.5</v>
      </c>
      <c r="L65" s="11">
        <v>114426.49</v>
      </c>
      <c r="M65" s="11">
        <v>-226.85</v>
      </c>
      <c r="N65" s="11">
        <v>680316.58999999985</v>
      </c>
      <c r="O65" s="11">
        <v>136308.72</v>
      </c>
      <c r="P65" s="11"/>
      <c r="Q65" s="11">
        <v>1901643.8299999989</v>
      </c>
      <c r="R65" s="11">
        <v>150389.14000000001</v>
      </c>
      <c r="S65" s="11">
        <f>Kool!AZ65</f>
        <v>0</v>
      </c>
      <c r="T65" s="12">
        <f t="shared" si="5"/>
        <v>2710240.4799999991</v>
      </c>
      <c r="U65" s="11">
        <v>314849.15000000002</v>
      </c>
      <c r="V65" s="11">
        <v>174021.75</v>
      </c>
      <c r="W65" s="11">
        <v>98831.86</v>
      </c>
      <c r="X65" s="11"/>
      <c r="Y65" s="11">
        <v>26080</v>
      </c>
      <c r="Z65" s="11">
        <v>63128</v>
      </c>
      <c r="AA65" s="11">
        <v>334853.69</v>
      </c>
      <c r="AB65" s="11">
        <v>200153.8</v>
      </c>
      <c r="AC65" s="11">
        <v>102497.72</v>
      </c>
      <c r="AD65" s="11"/>
      <c r="AE65" s="11">
        <v>16516</v>
      </c>
      <c r="AF65" s="11">
        <v>66409</v>
      </c>
      <c r="AG65" s="33">
        <v>292</v>
      </c>
      <c r="AH65" s="33">
        <v>0</v>
      </c>
      <c r="AI65" s="2">
        <f t="shared" si="6"/>
        <v>292</v>
      </c>
      <c r="AJ65" s="18">
        <f t="shared" si="7"/>
        <v>0</v>
      </c>
      <c r="AK65" s="33">
        <v>308</v>
      </c>
      <c r="AL65" s="33">
        <v>0</v>
      </c>
      <c r="AM65" s="2">
        <f t="shared" si="8"/>
        <v>308</v>
      </c>
      <c r="AN65" s="18">
        <f t="shared" si="9"/>
        <v>0</v>
      </c>
      <c r="AO65" s="2">
        <v>295</v>
      </c>
      <c r="AP65" s="2">
        <v>0</v>
      </c>
      <c r="AQ65" s="2">
        <f t="shared" si="10"/>
        <v>295</v>
      </c>
      <c r="AR65" s="18">
        <f t="shared" si="11"/>
        <v>0</v>
      </c>
      <c r="AS65" s="34">
        <f t="shared" si="37"/>
        <v>297.33333333333331</v>
      </c>
      <c r="AT65" s="34">
        <f t="shared" si="38"/>
        <v>303.66666666666669</v>
      </c>
      <c r="AU65" s="34">
        <v>16</v>
      </c>
      <c r="AV65" s="34">
        <v>18</v>
      </c>
      <c r="AW65" s="34">
        <v>18</v>
      </c>
      <c r="AX65" s="34">
        <f t="shared" si="12"/>
        <v>16.666666666666664</v>
      </c>
      <c r="AY65" s="34">
        <f t="shared" si="13"/>
        <v>18</v>
      </c>
      <c r="AZ65" s="2">
        <f t="shared" si="14"/>
        <v>681.82609304932737</v>
      </c>
      <c r="BA65" s="2">
        <f t="shared" si="15"/>
        <v>477.06780269058299</v>
      </c>
      <c r="BB65" s="2">
        <f t="shared" si="16"/>
        <v>33.067572869955164</v>
      </c>
      <c r="BC65" s="2">
        <f t="shared" si="17"/>
        <v>171.6907174887892</v>
      </c>
      <c r="BD65" s="2">
        <f t="shared" si="41"/>
        <v>743.7542480790338</v>
      </c>
      <c r="BE65" s="2">
        <f t="shared" si="18"/>
        <v>521.85615532381962</v>
      </c>
      <c r="BF65" s="2">
        <f t="shared" si="19"/>
        <v>41.270345773874865</v>
      </c>
      <c r="BG65" s="2">
        <f t="shared" si="20"/>
        <v>180.62774698133933</v>
      </c>
      <c r="BH65" s="2">
        <f t="shared" si="21"/>
        <v>575.890793161435</v>
      </c>
      <c r="BI65" s="2">
        <f t="shared" si="22"/>
        <v>76.472424327354261</v>
      </c>
      <c r="BJ65" s="2">
        <f t="shared" si="23"/>
        <v>7.3094170403587446</v>
      </c>
      <c r="BK65" s="2">
        <f t="shared" si="24"/>
        <v>22.153458520179363</v>
      </c>
      <c r="BL65" s="2">
        <f t="shared" si="42"/>
        <v>633.63825192096567</v>
      </c>
      <c r="BM65" s="20">
        <f t="shared" si="25"/>
        <v>83.054753018660804</v>
      </c>
      <c r="BN65" s="20">
        <f t="shared" si="26"/>
        <v>4.5323819978046105</v>
      </c>
      <c r="BO65" s="2">
        <f t="shared" si="27"/>
        <v>22.528861141602714</v>
      </c>
      <c r="BP65" s="18">
        <f t="shared" si="28"/>
        <v>0.69969132533047407</v>
      </c>
      <c r="BQ65" s="18">
        <f t="shared" si="29"/>
        <v>0.7016513272652467</v>
      </c>
      <c r="BR65" s="18">
        <f t="shared" si="30"/>
        <v>0.11215825429230353</v>
      </c>
      <c r="BS65" s="18">
        <f t="shared" si="31"/>
        <v>0.11166961833586075</v>
      </c>
      <c r="BT65" s="29">
        <f>BD65/Kool!BJ65</f>
        <v>1.6072816662177092</v>
      </c>
      <c r="BU65" s="27">
        <v>17.059999999999999</v>
      </c>
      <c r="BV65" s="27">
        <v>16.82</v>
      </c>
      <c r="BW65" s="27">
        <f t="shared" si="32"/>
        <v>17.84</v>
      </c>
      <c r="BX65" s="27">
        <f t="shared" si="33"/>
        <v>16.87037037037037</v>
      </c>
      <c r="BY65" s="2">
        <v>1818.451642641636</v>
      </c>
      <c r="BZ65" s="2">
        <v>1821.657802531116</v>
      </c>
      <c r="CA65" s="2">
        <f>VLOOKUP(A65,'[1]kaugused autoga'!$A$3:$B$82,2,FALSE)</f>
        <v>1854.3</v>
      </c>
      <c r="CB65" s="29">
        <v>1.67</v>
      </c>
      <c r="CC65">
        <v>4551</v>
      </c>
      <c r="CD65" s="18">
        <v>0.99343669610954466</v>
      </c>
      <c r="CE65" t="s">
        <v>234</v>
      </c>
      <c r="CG65" s="27">
        <f t="shared" si="34"/>
        <v>16.87037037037037</v>
      </c>
      <c r="CH65" s="2">
        <f t="shared" si="35"/>
        <v>1821.657802531116</v>
      </c>
      <c r="CI65" s="56">
        <f t="shared" si="36"/>
        <v>0.99343669610954466</v>
      </c>
    </row>
    <row r="66" spans="1:87" ht="14.25" customHeight="1" x14ac:dyDescent="0.35">
      <c r="A66" t="s">
        <v>124</v>
      </c>
      <c r="B66" s="10" t="s">
        <v>70</v>
      </c>
      <c r="C66" s="11">
        <v>47363.55</v>
      </c>
      <c r="D66" s="11">
        <v>-11.19</v>
      </c>
      <c r="E66" s="11">
        <v>290638.46000000002</v>
      </c>
      <c r="F66" s="11">
        <v>61626.16</v>
      </c>
      <c r="G66" s="11"/>
      <c r="H66" s="11">
        <v>1441019.86</v>
      </c>
      <c r="I66" s="11">
        <v>58200.99</v>
      </c>
      <c r="J66" s="11">
        <f>Kool!AY66</f>
        <v>64276.428738938128</v>
      </c>
      <c r="K66" s="12">
        <f t="shared" si="4"/>
        <v>1839861.9387389382</v>
      </c>
      <c r="L66" s="11">
        <v>46175.44</v>
      </c>
      <c r="M66" s="11">
        <v>1472</v>
      </c>
      <c r="N66" s="11">
        <v>268467.36999999988</v>
      </c>
      <c r="O66" s="11">
        <v>48982.879999999997</v>
      </c>
      <c r="P66" s="11"/>
      <c r="Q66" s="11">
        <v>1521768.15</v>
      </c>
      <c r="R66" s="11">
        <v>44446.559999999998</v>
      </c>
      <c r="S66" s="11">
        <f>Kool!AZ66</f>
        <v>42741.742276785706</v>
      </c>
      <c r="T66" s="12">
        <f t="shared" si="5"/>
        <v>1876088.3822767856</v>
      </c>
      <c r="U66" s="11">
        <v>354062.36</v>
      </c>
      <c r="V66" s="11">
        <v>131004.94</v>
      </c>
      <c r="W66" s="11">
        <v>76714.2</v>
      </c>
      <c r="X66" s="11"/>
      <c r="Y66" s="11">
        <v>127219.6</v>
      </c>
      <c r="Z66" s="11">
        <v>91653</v>
      </c>
      <c r="AA66" s="11">
        <v>335941.01</v>
      </c>
      <c r="AB66" s="11">
        <v>134221.42000000001</v>
      </c>
      <c r="AC66" s="11">
        <v>71625.990000000005</v>
      </c>
      <c r="AD66" s="11"/>
      <c r="AE66" s="11">
        <v>119989</v>
      </c>
      <c r="AF66" s="11">
        <v>91145</v>
      </c>
      <c r="AG66" s="33">
        <v>201</v>
      </c>
      <c r="AH66" s="33">
        <v>60</v>
      </c>
      <c r="AI66" s="2">
        <f t="shared" si="6"/>
        <v>261</v>
      </c>
      <c r="AJ66" s="18">
        <f t="shared" si="7"/>
        <v>0.22988505747126436</v>
      </c>
      <c r="AK66" s="33">
        <v>188</v>
      </c>
      <c r="AL66" s="33">
        <v>57</v>
      </c>
      <c r="AM66" s="2">
        <f t="shared" si="8"/>
        <v>245</v>
      </c>
      <c r="AN66" s="18">
        <f t="shared" si="9"/>
        <v>0.23265306122448978</v>
      </c>
      <c r="AO66" s="2">
        <v>231</v>
      </c>
      <c r="AP66" s="2">
        <v>13</v>
      </c>
      <c r="AQ66" s="2">
        <f t="shared" si="10"/>
        <v>244</v>
      </c>
      <c r="AR66" s="18">
        <f t="shared" si="11"/>
        <v>5.3278688524590161E-2</v>
      </c>
      <c r="AS66" s="34">
        <f t="shared" si="37"/>
        <v>255.66666666666669</v>
      </c>
      <c r="AT66" s="34">
        <f t="shared" si="38"/>
        <v>244.66666666666669</v>
      </c>
      <c r="AU66" s="34">
        <v>15</v>
      </c>
      <c r="AV66" s="34">
        <v>16</v>
      </c>
      <c r="AW66" s="34">
        <v>16</v>
      </c>
      <c r="AX66" s="34">
        <f t="shared" si="12"/>
        <v>15.333333333333332</v>
      </c>
      <c r="AY66" s="34">
        <f t="shared" si="13"/>
        <v>16</v>
      </c>
      <c r="AZ66" s="2">
        <f t="shared" si="14"/>
        <v>599.69424339600334</v>
      </c>
      <c r="BA66" s="2">
        <f t="shared" si="15"/>
        <v>469.69356584093867</v>
      </c>
      <c r="BB66" s="2">
        <f t="shared" si="16"/>
        <v>18.970335723598435</v>
      </c>
      <c r="BC66" s="2">
        <f t="shared" si="17"/>
        <v>111.03034183146623</v>
      </c>
      <c r="BD66" s="2">
        <f t="shared" si="41"/>
        <v>638.99468061198411</v>
      </c>
      <c r="BE66" s="2">
        <f t="shared" si="18"/>
        <v>518.31340258855573</v>
      </c>
      <c r="BF66" s="2">
        <f t="shared" si="19"/>
        <v>15.138474114441415</v>
      </c>
      <c r="BG66" s="2">
        <f t="shared" si="20"/>
        <v>105.54280390898697</v>
      </c>
      <c r="BH66" s="2">
        <f t="shared" si="21"/>
        <v>454.41544287449091</v>
      </c>
      <c r="BI66" s="2">
        <f t="shared" si="22"/>
        <v>67.705065189048241</v>
      </c>
      <c r="BJ66" s="2">
        <f t="shared" si="23"/>
        <v>41.466623207301176</v>
      </c>
      <c r="BK66" s="2">
        <f t="shared" si="24"/>
        <v>36.10711212516302</v>
      </c>
      <c r="BL66" s="2">
        <f t="shared" si="42"/>
        <v>493.52941835040377</v>
      </c>
      <c r="BM66" s="20">
        <f t="shared" si="25"/>
        <v>70.111515667574935</v>
      </c>
      <c r="BN66" s="20">
        <f t="shared" si="26"/>
        <v>40.868188010899182</v>
      </c>
      <c r="BO66" s="2">
        <f t="shared" si="27"/>
        <v>34.485558583106219</v>
      </c>
      <c r="BP66" s="18">
        <f t="shared" si="28"/>
        <v>0.78322173509806436</v>
      </c>
      <c r="BQ66" s="18">
        <f t="shared" si="29"/>
        <v>0.81113883779463025</v>
      </c>
      <c r="BR66" s="18">
        <f t="shared" si="30"/>
        <v>0.11289930816350981</v>
      </c>
      <c r="BS66" s="18">
        <f t="shared" si="31"/>
        <v>0.10972159517889424</v>
      </c>
      <c r="BT66" s="29">
        <f>BD66/Kool!BJ66</f>
        <v>0.99755683925410565</v>
      </c>
      <c r="BU66" s="27">
        <v>15.31</v>
      </c>
      <c r="BV66" s="27">
        <v>15.06</v>
      </c>
      <c r="BW66" s="27">
        <f t="shared" si="32"/>
        <v>16.673913043478262</v>
      </c>
      <c r="BX66" s="27">
        <f t="shared" si="33"/>
        <v>15.291666666666668</v>
      </c>
      <c r="BY66" s="2">
        <v>1723.0474504249289</v>
      </c>
      <c r="BZ66" s="2">
        <v>1607.715811965812</v>
      </c>
      <c r="CA66" s="2">
        <f>VLOOKUP(A66,'[1]kaugused autoga'!$A$3:$B$82,2,FALSE)</f>
        <v>3713.6</v>
      </c>
      <c r="CB66" s="29">
        <v>2.09</v>
      </c>
      <c r="CC66">
        <v>5279</v>
      </c>
      <c r="CD66" s="18">
        <v>0.98287339325100298</v>
      </c>
      <c r="CE66" t="s">
        <v>234</v>
      </c>
      <c r="CG66" s="27">
        <f t="shared" si="34"/>
        <v>15.291666666666668</v>
      </c>
      <c r="CH66" s="2">
        <f t="shared" si="35"/>
        <v>1607.715811965812</v>
      </c>
      <c r="CI66" s="56">
        <f t="shared" si="36"/>
        <v>0.98287339325100298</v>
      </c>
    </row>
    <row r="67" spans="1:87" ht="14.25" customHeight="1" x14ac:dyDescent="0.35">
      <c r="A67" t="s">
        <v>104</v>
      </c>
      <c r="B67" s="10" t="s">
        <v>71</v>
      </c>
      <c r="C67" s="11">
        <v>963998.39</v>
      </c>
      <c r="D67" s="11">
        <v>36694.06</v>
      </c>
      <c r="E67" s="11">
        <v>6394985.290000001</v>
      </c>
      <c r="F67" s="11">
        <v>762602.12000000011</v>
      </c>
      <c r="G67" s="11">
        <v>237251.20000000001</v>
      </c>
      <c r="H67" s="11">
        <v>29089814.760000002</v>
      </c>
      <c r="I67" s="11">
        <v>2491745.13</v>
      </c>
      <c r="J67" s="11">
        <f>Kool!AY67</f>
        <v>35609.635813659253</v>
      </c>
      <c r="K67" s="12">
        <f t="shared" si="4"/>
        <v>38250245.145813666</v>
      </c>
      <c r="L67" s="11">
        <v>1114767.31</v>
      </c>
      <c r="M67" s="11">
        <v>40389.93</v>
      </c>
      <c r="N67" s="11">
        <v>6640852.2099999953</v>
      </c>
      <c r="O67" s="11">
        <v>727383.2699999999</v>
      </c>
      <c r="P67" s="11">
        <v>235922.8</v>
      </c>
      <c r="Q67" s="11">
        <v>28278727.56000001</v>
      </c>
      <c r="R67" s="11">
        <v>2777486.24</v>
      </c>
      <c r="S67" s="11">
        <f>Kool!AZ67</f>
        <v>34601.22783190578</v>
      </c>
      <c r="T67" s="12">
        <f t="shared" si="5"/>
        <v>38159441.207831919</v>
      </c>
      <c r="U67" s="11">
        <v>8178765.6400000006</v>
      </c>
      <c r="V67" s="11">
        <v>3944327.16</v>
      </c>
      <c r="W67" s="11">
        <v>1472256.97</v>
      </c>
      <c r="X67" s="11"/>
      <c r="Y67" s="11">
        <v>2085228.67</v>
      </c>
      <c r="Z67" s="11">
        <v>1434036</v>
      </c>
      <c r="AA67" s="11">
        <v>7799133.8400000008</v>
      </c>
      <c r="AB67" s="11">
        <v>3838968.64</v>
      </c>
      <c r="AC67" s="11">
        <v>1551189.28</v>
      </c>
      <c r="AD67" s="11"/>
      <c r="AE67" s="11">
        <v>1966507.23</v>
      </c>
      <c r="AF67" s="11">
        <v>1443221</v>
      </c>
      <c r="AG67" s="33">
        <v>4719</v>
      </c>
      <c r="AH67" s="33">
        <v>7</v>
      </c>
      <c r="AI67" s="2">
        <f t="shared" si="6"/>
        <v>4726</v>
      </c>
      <c r="AJ67" s="18">
        <f t="shared" si="7"/>
        <v>1.4811680067710537E-3</v>
      </c>
      <c r="AK67" s="33">
        <v>4554</v>
      </c>
      <c r="AL67" s="33">
        <v>8</v>
      </c>
      <c r="AM67" s="2">
        <f t="shared" si="8"/>
        <v>4562</v>
      </c>
      <c r="AN67" s="18">
        <f t="shared" si="9"/>
        <v>1.7536168347216134E-3</v>
      </c>
      <c r="AO67" s="2">
        <v>4374</v>
      </c>
      <c r="AP67" s="2">
        <v>5</v>
      </c>
      <c r="AQ67" s="2">
        <f t="shared" si="10"/>
        <v>4379</v>
      </c>
      <c r="AR67" s="18">
        <f t="shared" si="11"/>
        <v>1.1418131993605847E-3</v>
      </c>
      <c r="AS67" s="34">
        <f t="shared" si="37"/>
        <v>4671.333333333333</v>
      </c>
      <c r="AT67" s="34">
        <f t="shared" si="38"/>
        <v>4501</v>
      </c>
      <c r="AU67" s="34">
        <v>285</v>
      </c>
      <c r="AV67" s="34">
        <v>281</v>
      </c>
      <c r="AW67" s="34">
        <v>275</v>
      </c>
      <c r="AX67" s="34">
        <f t="shared" si="12"/>
        <v>283.66666666666669</v>
      </c>
      <c r="AY67" s="34">
        <f t="shared" si="13"/>
        <v>279</v>
      </c>
      <c r="AZ67" s="2">
        <f t="shared" si="14"/>
        <v>682.35773415537449</v>
      </c>
      <c r="BA67" s="2">
        <f t="shared" si="15"/>
        <v>518.94203582132161</v>
      </c>
      <c r="BB67" s="2">
        <f t="shared" si="16"/>
        <v>48.683393927501072</v>
      </c>
      <c r="BC67" s="2">
        <f t="shared" si="17"/>
        <v>114.7323044065518</v>
      </c>
      <c r="BD67" s="2">
        <f t="shared" si="41"/>
        <v>706.49931881492842</v>
      </c>
      <c r="BE67" s="2">
        <f t="shared" si="18"/>
        <v>523.56379249055783</v>
      </c>
      <c r="BF67" s="2">
        <f t="shared" si="19"/>
        <v>55.791473005998661</v>
      </c>
      <c r="BG67" s="2">
        <f t="shared" si="20"/>
        <v>127.14405331837193</v>
      </c>
      <c r="BH67" s="2">
        <f t="shared" si="21"/>
        <v>510.87204769897363</v>
      </c>
      <c r="BI67" s="2">
        <f t="shared" si="22"/>
        <v>96.628088518624239</v>
      </c>
      <c r="BJ67" s="2">
        <f t="shared" si="23"/>
        <v>37.199027222777225</v>
      </c>
      <c r="BK67" s="2">
        <f t="shared" si="24"/>
        <v>37.658570714999392</v>
      </c>
      <c r="BL67" s="2">
        <f t="shared" si="42"/>
        <v>535.38262548751982</v>
      </c>
      <c r="BM67" s="20">
        <f t="shared" si="25"/>
        <v>99.795562467599794</v>
      </c>
      <c r="BN67" s="20">
        <f t="shared" si="26"/>
        <v>36.408709731170852</v>
      </c>
      <c r="BO67" s="2">
        <f t="shared" si="27"/>
        <v>34.912421128637952</v>
      </c>
      <c r="BP67" s="18">
        <f t="shared" si="28"/>
        <v>0.76051315878125192</v>
      </c>
      <c r="BQ67" s="18">
        <f t="shared" si="29"/>
        <v>0.74106765363733973</v>
      </c>
      <c r="BR67" s="18">
        <f t="shared" si="30"/>
        <v>0.14160913503564362</v>
      </c>
      <c r="BS67" s="18">
        <f t="shared" si="31"/>
        <v>0.1412535862525606</v>
      </c>
      <c r="BT67" s="29">
        <f>BD67/Kool!BJ67</f>
        <v>1.7151397941356035</v>
      </c>
      <c r="BU67" s="27">
        <v>16.920000000000002</v>
      </c>
      <c r="BV67" s="27">
        <v>16.62</v>
      </c>
      <c r="BW67" s="27">
        <f t="shared" si="32"/>
        <v>16.467685076380725</v>
      </c>
      <c r="BX67" s="27">
        <f t="shared" si="33"/>
        <v>16.132616487455198</v>
      </c>
      <c r="BY67" s="2">
        <v>1781.627993067199</v>
      </c>
      <c r="BZ67" s="2">
        <v>1758.490963736697</v>
      </c>
      <c r="CA67" s="2">
        <f>VLOOKUP(A67,'[1]kaugused autoga'!$A$3:$B$82,2,FALSE)</f>
        <v>777.8</v>
      </c>
      <c r="CB67" s="29">
        <v>1.03</v>
      </c>
      <c r="CC67">
        <v>98257</v>
      </c>
      <c r="CD67" s="18">
        <v>1.0537429129793279</v>
      </c>
      <c r="CE67" t="s">
        <v>233</v>
      </c>
      <c r="CG67" s="27">
        <f t="shared" si="34"/>
        <v>16.132616487455198</v>
      </c>
      <c r="CH67" s="2">
        <f t="shared" si="35"/>
        <v>1758.490963736697</v>
      </c>
      <c r="CI67" s="56">
        <f t="shared" si="36"/>
        <v>1.0537429129793279</v>
      </c>
    </row>
    <row r="68" spans="1:87" ht="14.25" customHeight="1" x14ac:dyDescent="0.35">
      <c r="A68" t="s">
        <v>103</v>
      </c>
      <c r="B68" s="10" t="s">
        <v>72</v>
      </c>
      <c r="C68" s="11">
        <v>265039.19</v>
      </c>
      <c r="D68" s="11">
        <v>1806.84</v>
      </c>
      <c r="E68" s="11">
        <v>2081917.8099999989</v>
      </c>
      <c r="F68" s="11">
        <v>837118.8</v>
      </c>
      <c r="G68" s="11">
        <v>388667.76</v>
      </c>
      <c r="H68" s="11">
        <v>4893606.28</v>
      </c>
      <c r="I68" s="11">
        <v>305082.65000000002</v>
      </c>
      <c r="J68" s="11">
        <f>Kool!AY68</f>
        <v>0</v>
      </c>
      <c r="K68" s="12">
        <f t="shared" si="4"/>
        <v>6710333.9699999997</v>
      </c>
      <c r="L68" s="11">
        <v>302077.69</v>
      </c>
      <c r="M68" s="13"/>
      <c r="N68" s="11">
        <v>2264986.080000001</v>
      </c>
      <c r="O68" s="11">
        <v>949044.52</v>
      </c>
      <c r="P68" s="11">
        <v>402185.67</v>
      </c>
      <c r="Q68" s="11">
        <v>5272731.12</v>
      </c>
      <c r="R68" s="11">
        <v>434496.84</v>
      </c>
      <c r="S68" s="11">
        <f>Kool!AZ68</f>
        <v>0</v>
      </c>
      <c r="T68" s="12">
        <f t="shared" si="5"/>
        <v>7325247.2100000009</v>
      </c>
      <c r="U68" s="11">
        <v>1167294.05</v>
      </c>
      <c r="V68" s="11">
        <v>721635.65</v>
      </c>
      <c r="W68" s="11">
        <v>270643.73</v>
      </c>
      <c r="X68" s="11"/>
      <c r="Y68" s="11">
        <v>138134.89000000001</v>
      </c>
      <c r="Z68" s="11">
        <v>205752</v>
      </c>
      <c r="AA68" s="11">
        <v>1194195.44</v>
      </c>
      <c r="AB68" s="11">
        <v>750715.32000000007</v>
      </c>
      <c r="AC68" s="11">
        <v>270681.81</v>
      </c>
      <c r="AD68" s="11"/>
      <c r="AE68" s="11">
        <v>140565</v>
      </c>
      <c r="AF68" s="11">
        <v>207409</v>
      </c>
      <c r="AG68" s="33">
        <v>868</v>
      </c>
      <c r="AH68" s="33">
        <v>70</v>
      </c>
      <c r="AI68" s="2">
        <f t="shared" si="6"/>
        <v>938</v>
      </c>
      <c r="AJ68" s="18">
        <f t="shared" si="7"/>
        <v>7.4626865671641784E-2</v>
      </c>
      <c r="AK68" s="33">
        <v>877</v>
      </c>
      <c r="AL68" s="33">
        <v>72</v>
      </c>
      <c r="AM68" s="2">
        <f t="shared" si="8"/>
        <v>949</v>
      </c>
      <c r="AN68" s="18">
        <f t="shared" si="9"/>
        <v>7.5869336143308749E-2</v>
      </c>
      <c r="AO68" s="2">
        <v>808</v>
      </c>
      <c r="AP68" s="2">
        <v>88</v>
      </c>
      <c r="AQ68" s="2">
        <f t="shared" si="10"/>
        <v>896</v>
      </c>
      <c r="AR68" s="18">
        <f t="shared" si="11"/>
        <v>9.8214285714285712E-2</v>
      </c>
      <c r="AS68" s="34">
        <f t="shared" ref="AS68:AS82" si="43">AI68*2/3+AM68*1/3</f>
        <v>941.66666666666674</v>
      </c>
      <c r="AT68" s="34">
        <f t="shared" ref="AT68:AT82" si="44">AM68*2/3+AQ68*1/3</f>
        <v>931.33333333333326</v>
      </c>
      <c r="AU68" s="34">
        <v>48</v>
      </c>
      <c r="AV68" s="34">
        <v>49</v>
      </c>
      <c r="AW68" s="34">
        <v>53</v>
      </c>
      <c r="AX68" s="34">
        <f t="shared" si="12"/>
        <v>48.333333333333329</v>
      </c>
      <c r="AY68" s="34">
        <f t="shared" si="13"/>
        <v>50.333333333333329</v>
      </c>
      <c r="AZ68" s="2">
        <f t="shared" si="14"/>
        <v>593.83486460176982</v>
      </c>
      <c r="BA68" s="2">
        <f t="shared" si="15"/>
        <v>433.06250265486727</v>
      </c>
      <c r="BB68" s="2">
        <f t="shared" si="16"/>
        <v>61.393841592920353</v>
      </c>
      <c r="BC68" s="2">
        <f t="shared" si="17"/>
        <v>99.378520353982196</v>
      </c>
      <c r="BD68" s="2">
        <f t="shared" si="41"/>
        <v>655.44445329277039</v>
      </c>
      <c r="BE68" s="2">
        <f t="shared" si="18"/>
        <v>471.79054402290626</v>
      </c>
      <c r="BF68" s="2">
        <f t="shared" si="19"/>
        <v>74.864218861846823</v>
      </c>
      <c r="BG68" s="2">
        <f t="shared" si="20"/>
        <v>108.78969040801731</v>
      </c>
      <c r="BH68" s="2">
        <f t="shared" si="21"/>
        <v>472.32636460176985</v>
      </c>
      <c r="BI68" s="2">
        <f t="shared" si="22"/>
        <v>87.812334513274322</v>
      </c>
      <c r="BJ68" s="2">
        <f t="shared" si="23"/>
        <v>12.224326548672567</v>
      </c>
      <c r="BK68" s="2">
        <f t="shared" si="24"/>
        <v>21.471838938053082</v>
      </c>
      <c r="BL68" s="2">
        <f t="shared" si="42"/>
        <v>530.03245973514697</v>
      </c>
      <c r="BM68" s="20">
        <f t="shared" si="25"/>
        <v>91.392012347888354</v>
      </c>
      <c r="BN68" s="20">
        <f t="shared" si="26"/>
        <v>12.577397995705084</v>
      </c>
      <c r="BO68" s="2">
        <f t="shared" si="27"/>
        <v>21.44258321402998</v>
      </c>
      <c r="BP68" s="18">
        <f t="shared" si="28"/>
        <v>0.72926419189833569</v>
      </c>
      <c r="BQ68" s="18">
        <f t="shared" si="29"/>
        <v>0.71980248158751203</v>
      </c>
      <c r="BR68" s="18">
        <f t="shared" si="30"/>
        <v>0.14787332261496963</v>
      </c>
      <c r="BS68" s="18">
        <f t="shared" si="31"/>
        <v>0.13943517545805803</v>
      </c>
      <c r="BT68" s="29">
        <f>BD68/Kool!BJ68</f>
        <v>1.2877088510762491</v>
      </c>
      <c r="BU68" s="27">
        <v>19.68</v>
      </c>
      <c r="BV68" s="27">
        <v>17.100000000000001</v>
      </c>
      <c r="BW68" s="27">
        <f t="shared" si="32"/>
        <v>19.482758620689658</v>
      </c>
      <c r="BX68" s="27">
        <f t="shared" si="33"/>
        <v>18.503311258278146</v>
      </c>
      <c r="BY68" s="2">
        <v>1727.665229704216</v>
      </c>
      <c r="BZ68" s="2">
        <v>1677.868308712573</v>
      </c>
      <c r="CA68" s="2">
        <f>VLOOKUP(A68,'[1]kaugused autoga'!$A$3:$B$82,2,FALSE)</f>
        <v>2651.2</v>
      </c>
      <c r="CB68" s="29">
        <v>1.69</v>
      </c>
      <c r="CC68">
        <v>13398</v>
      </c>
      <c r="CD68" s="18">
        <v>0.99957734612178684</v>
      </c>
      <c r="CE68" t="s">
        <v>234</v>
      </c>
      <c r="CG68" s="27">
        <f t="shared" si="34"/>
        <v>18.503311258278146</v>
      </c>
      <c r="CH68" s="2">
        <f t="shared" si="35"/>
        <v>1677.868308712573</v>
      </c>
      <c r="CI68" s="56">
        <f t="shared" si="36"/>
        <v>0.99957734612178684</v>
      </c>
    </row>
    <row r="69" spans="1:87" ht="14.25" customHeight="1" x14ac:dyDescent="0.35">
      <c r="A69" t="s">
        <v>162</v>
      </c>
      <c r="B69" s="10" t="s">
        <v>73</v>
      </c>
      <c r="C69" s="11">
        <v>220855.57</v>
      </c>
      <c r="D69" s="11">
        <v>-2366.0100000000002</v>
      </c>
      <c r="E69" s="11">
        <v>1507512.7</v>
      </c>
      <c r="F69" s="11">
        <v>375183.61</v>
      </c>
      <c r="G69" s="11"/>
      <c r="H69" s="11">
        <v>4788036.03</v>
      </c>
      <c r="I69" s="11">
        <v>219246.05</v>
      </c>
      <c r="J69" s="11">
        <f>Kool!AY69</f>
        <v>0</v>
      </c>
      <c r="K69" s="12">
        <f t="shared" ref="K69:K82" si="45">C69+D69+E69-F69+H69+I69+J69</f>
        <v>6358100.7299999995</v>
      </c>
      <c r="L69" s="11">
        <v>254999.2</v>
      </c>
      <c r="M69" s="11">
        <v>33850.03</v>
      </c>
      <c r="N69" s="11">
        <v>1690855.81</v>
      </c>
      <c r="O69" s="11">
        <v>401001.38000000012</v>
      </c>
      <c r="P69" s="11"/>
      <c r="Q69" s="11">
        <v>4830185.0500000007</v>
      </c>
      <c r="R69" s="11">
        <v>207162.89</v>
      </c>
      <c r="S69" s="11">
        <f>Kool!AZ69</f>
        <v>0</v>
      </c>
      <c r="T69" s="12">
        <f t="shared" ref="T69:T82" si="46">L69+M69+N69-O69+Q69+R69+S69</f>
        <v>6616051.6000000006</v>
      </c>
      <c r="U69" s="11">
        <v>893965.15</v>
      </c>
      <c r="V69" s="11">
        <v>338539.84</v>
      </c>
      <c r="W69" s="11">
        <v>328559.02</v>
      </c>
      <c r="X69" s="11"/>
      <c r="Y69" s="11">
        <v>154922.34</v>
      </c>
      <c r="Z69" s="11">
        <v>284436</v>
      </c>
      <c r="AA69" s="11">
        <v>959339.97</v>
      </c>
      <c r="AB69" s="11">
        <v>435742.73</v>
      </c>
      <c r="AC69" s="11">
        <v>332310.87</v>
      </c>
      <c r="AD69" s="11"/>
      <c r="AE69" s="11">
        <v>104628.1</v>
      </c>
      <c r="AF69" s="11">
        <v>287839</v>
      </c>
      <c r="AG69" s="33">
        <v>743</v>
      </c>
      <c r="AH69" s="33">
        <v>54</v>
      </c>
      <c r="AI69" s="2">
        <f t="shared" ref="AI69:AI82" si="47">SUM(AG69:AH69)</f>
        <v>797</v>
      </c>
      <c r="AJ69" s="18">
        <f t="shared" ref="AJ69:AJ83" si="48">AH69/AI69</f>
        <v>6.775407779171895E-2</v>
      </c>
      <c r="AK69" s="33">
        <v>674</v>
      </c>
      <c r="AL69" s="33">
        <v>136</v>
      </c>
      <c r="AM69" s="2">
        <f t="shared" ref="AM69:AM82" si="49">SUM(AK69:AL69)</f>
        <v>810</v>
      </c>
      <c r="AN69" s="18">
        <f t="shared" ref="AN69:AN83" si="50">AL69/AM69</f>
        <v>0.16790123456790124</v>
      </c>
      <c r="AO69" s="2">
        <v>645</v>
      </c>
      <c r="AP69" s="2">
        <v>132</v>
      </c>
      <c r="AQ69" s="2">
        <f t="shared" ref="AQ69:AQ82" si="51">SUM(AO69:AP69)</f>
        <v>777</v>
      </c>
      <c r="AR69" s="18">
        <f t="shared" ref="AR69:AR83" si="52">AP69/AQ69</f>
        <v>0.16988416988416988</v>
      </c>
      <c r="AS69" s="34">
        <f t="shared" si="43"/>
        <v>801.33333333333337</v>
      </c>
      <c r="AT69" s="34">
        <f t="shared" si="44"/>
        <v>799</v>
      </c>
      <c r="AU69" s="34">
        <v>47</v>
      </c>
      <c r="AV69" s="34">
        <v>50</v>
      </c>
      <c r="AW69" s="34">
        <v>50</v>
      </c>
      <c r="AX69" s="34">
        <f t="shared" ref="AX69:AX82" si="53">AU69*2/3+AV69*1/3</f>
        <v>48</v>
      </c>
      <c r="AY69" s="34">
        <f t="shared" ref="AY69:AY82" si="54">AV69*2/3+AW69*1/3</f>
        <v>50</v>
      </c>
      <c r="AZ69" s="2">
        <f t="shared" ref="AZ69:AZ83" si="55">K69/AS69/12</f>
        <v>661.20015910981692</v>
      </c>
      <c r="BA69" s="2">
        <f t="shared" ref="BA69:BA83" si="56">H69/AS69/12</f>
        <v>497.92387999168051</v>
      </c>
      <c r="BB69" s="2">
        <f t="shared" ref="BB69:BB83" si="57">(G69+I69)/AS69/12</f>
        <v>22.800129991680532</v>
      </c>
      <c r="BC69" s="2">
        <f t="shared" ref="BC69:BC83" si="58">AZ69-BA69-BB69</f>
        <v>140.47614912645588</v>
      </c>
      <c r="BD69" s="2">
        <f t="shared" ref="BD69:BD82" si="59">T69/AT69/12</f>
        <v>690.03458489778893</v>
      </c>
      <c r="BE69" s="2">
        <f t="shared" ref="BE69:BE82" si="60">Q69/AT69/12</f>
        <v>503.77399353358373</v>
      </c>
      <c r="BF69" s="2">
        <f t="shared" ref="BF69:BF82" si="61">(R69+P69)/AT69/12</f>
        <v>21.606475803087193</v>
      </c>
      <c r="BG69" s="2">
        <f t="shared" ref="BG69:BG83" si="62">BD69-BE69-BF69</f>
        <v>164.654115561118</v>
      </c>
      <c r="BH69" s="2">
        <f t="shared" ref="BH69:BH83" si="63">(K69-U69-Z69)/AS69/12</f>
        <v>538.65428244592329</v>
      </c>
      <c r="BI69" s="2">
        <f t="shared" ref="BI69:BI83" si="64">(V69+W69+X69)/AS69/12</f>
        <v>69.373841514143109</v>
      </c>
      <c r="BJ69" s="2">
        <f t="shared" ref="BJ69:BJ83" si="65">Y69/AS69/12</f>
        <v>16.110892262895174</v>
      </c>
      <c r="BK69" s="2">
        <f t="shared" ref="BK69:BK83" si="66">AZ69-BH69-BI69-BJ69</f>
        <v>37.06114288685535</v>
      </c>
      <c r="BL69" s="2">
        <f t="shared" si="42"/>
        <v>559.95751251564468</v>
      </c>
      <c r="BM69" s="20">
        <f t="shared" ref="BM69:BM83" si="67">(AB69+AC69+AD69)/AT69/12</f>
        <v>80.105715477680434</v>
      </c>
      <c r="BN69" s="20">
        <f t="shared" ref="BN69:BN83" si="68">AE69/AT69/12</f>
        <v>10.912400917813935</v>
      </c>
      <c r="BO69" s="2">
        <f t="shared" ref="BO69:BO83" si="69">BD69-BL69-BM69-BN69</f>
        <v>39.058955986649885</v>
      </c>
      <c r="BP69" s="18">
        <f t="shared" ref="BP69:BP83" si="70">BA69/AZ69</f>
        <v>0.75306073831265019</v>
      </c>
      <c r="BQ69" s="18">
        <f t="shared" ref="BQ69:BQ83" si="71">BE69/BD69</f>
        <v>0.73007064364491969</v>
      </c>
      <c r="BR69" s="18">
        <f t="shared" ref="BR69:BR83" si="72">BI69/AZ69</f>
        <v>0.10492109016964256</v>
      </c>
      <c r="BS69" s="18">
        <f t="shared" ref="BS69:BS83" si="73">BM69/BD69</f>
        <v>0.11608942106799772</v>
      </c>
      <c r="BT69" s="29">
        <f>BD69/Kool!BJ69</f>
        <v>1.3825663538379578</v>
      </c>
      <c r="BU69" s="27">
        <v>16.329999999999998</v>
      </c>
      <c r="BV69" s="27">
        <v>15.65</v>
      </c>
      <c r="BW69" s="27">
        <f t="shared" ref="BW69:BW83" si="74">AS69/AX69</f>
        <v>16.694444444444446</v>
      </c>
      <c r="BX69" s="27">
        <f t="shared" ref="BX69:BX83" si="75">AT69/AY69</f>
        <v>15.98</v>
      </c>
      <c r="BY69" s="2">
        <v>1733.4266261182181</v>
      </c>
      <c r="BZ69" s="2">
        <v>1660.5531423290199</v>
      </c>
      <c r="CA69" s="2">
        <f>VLOOKUP(A69,'[1]kaugused autoga'!$A$3:$B$82,2,FALSE)</f>
        <v>2737.4</v>
      </c>
      <c r="CB69" s="29">
        <v>1.56</v>
      </c>
      <c r="CC69">
        <v>14632</v>
      </c>
      <c r="CD69" s="18">
        <v>0.98910167526859583</v>
      </c>
      <c r="CE69" t="s">
        <v>234</v>
      </c>
      <c r="CG69" s="27">
        <f t="shared" ref="CG69:CG82" si="76">BX69</f>
        <v>15.98</v>
      </c>
      <c r="CH69" s="2">
        <f t="shared" ref="CH69:CH82" si="77">BZ69</f>
        <v>1660.5531423290199</v>
      </c>
      <c r="CI69" s="56">
        <f t="shared" ref="CI69:CI82" si="78">CD69</f>
        <v>0.98910167526859583</v>
      </c>
    </row>
    <row r="70" spans="1:87" ht="14.25" customHeight="1" x14ac:dyDescent="0.35">
      <c r="A70" t="s">
        <v>149</v>
      </c>
      <c r="B70" s="10" t="s">
        <v>74</v>
      </c>
      <c r="C70" s="11">
        <v>123798.27</v>
      </c>
      <c r="D70" s="13"/>
      <c r="E70" s="11">
        <v>1228662.1299999999</v>
      </c>
      <c r="F70" s="11">
        <v>614187.67000000004</v>
      </c>
      <c r="G70" s="11"/>
      <c r="H70" s="11">
        <v>2695010.52</v>
      </c>
      <c r="I70" s="11">
        <v>139614.79999999999</v>
      </c>
      <c r="J70" s="11">
        <f>Kool!AY70</f>
        <v>0</v>
      </c>
      <c r="K70" s="12">
        <f t="shared" si="45"/>
        <v>3572898.05</v>
      </c>
      <c r="L70" s="11">
        <v>125358.64</v>
      </c>
      <c r="M70" s="13"/>
      <c r="N70" s="11">
        <v>1022600.37</v>
      </c>
      <c r="O70" s="11">
        <v>412743.42</v>
      </c>
      <c r="P70" s="11"/>
      <c r="Q70" s="11">
        <v>3224342.19</v>
      </c>
      <c r="R70" s="11">
        <v>199267.68</v>
      </c>
      <c r="S70" s="11">
        <f>Kool!AZ70</f>
        <v>0</v>
      </c>
      <c r="T70" s="12">
        <f t="shared" si="46"/>
        <v>4158825.4600000004</v>
      </c>
      <c r="U70" s="11">
        <v>462362.75</v>
      </c>
      <c r="V70" s="11">
        <v>218300.49</v>
      </c>
      <c r="W70" s="11">
        <v>172563.5</v>
      </c>
      <c r="X70" s="11"/>
      <c r="Y70" s="11">
        <v>66857</v>
      </c>
      <c r="Z70" s="11">
        <v>76924</v>
      </c>
      <c r="AA70" s="11">
        <v>580548.04</v>
      </c>
      <c r="AB70" s="11">
        <v>270763.86</v>
      </c>
      <c r="AC70" s="11">
        <v>203609.4</v>
      </c>
      <c r="AD70" s="11"/>
      <c r="AE70" s="11">
        <v>101409</v>
      </c>
      <c r="AF70" s="11">
        <v>84526</v>
      </c>
      <c r="AG70" s="33">
        <v>75</v>
      </c>
      <c r="AH70" s="33">
        <v>370</v>
      </c>
      <c r="AI70" s="2">
        <f t="shared" si="47"/>
        <v>445</v>
      </c>
      <c r="AJ70" s="18">
        <f t="shared" si="48"/>
        <v>0.8314606741573034</v>
      </c>
      <c r="AK70" s="33">
        <v>333</v>
      </c>
      <c r="AL70" s="33">
        <v>173</v>
      </c>
      <c r="AM70" s="2">
        <f t="shared" si="49"/>
        <v>506</v>
      </c>
      <c r="AN70" s="18">
        <f t="shared" si="50"/>
        <v>0.34189723320158105</v>
      </c>
      <c r="AO70" s="2">
        <v>337</v>
      </c>
      <c r="AP70" s="2">
        <v>160</v>
      </c>
      <c r="AQ70" s="2">
        <f t="shared" si="51"/>
        <v>497</v>
      </c>
      <c r="AR70" s="18">
        <f t="shared" si="52"/>
        <v>0.32193158953722334</v>
      </c>
      <c r="AS70" s="34">
        <f t="shared" si="43"/>
        <v>465.33333333333337</v>
      </c>
      <c r="AT70" s="34">
        <f t="shared" si="44"/>
        <v>503</v>
      </c>
      <c r="AU70" s="34">
        <v>24</v>
      </c>
      <c r="AV70" s="34">
        <v>30</v>
      </c>
      <c r="AW70" s="34">
        <v>30</v>
      </c>
      <c r="AX70" s="34">
        <f t="shared" si="53"/>
        <v>26</v>
      </c>
      <c r="AY70" s="34">
        <f t="shared" si="54"/>
        <v>30</v>
      </c>
      <c r="AZ70" s="2">
        <f t="shared" si="55"/>
        <v>639.84563932664753</v>
      </c>
      <c r="BA70" s="2">
        <f t="shared" si="56"/>
        <v>482.63082378223493</v>
      </c>
      <c r="BB70" s="2">
        <f t="shared" si="57"/>
        <v>25.00265042979942</v>
      </c>
      <c r="BC70" s="2">
        <f t="shared" si="58"/>
        <v>132.21216511461319</v>
      </c>
      <c r="BD70" s="2">
        <f t="shared" si="59"/>
        <v>689.00355533465881</v>
      </c>
      <c r="BE70" s="2">
        <f t="shared" si="60"/>
        <v>534.18525347912521</v>
      </c>
      <c r="BF70" s="2">
        <f t="shared" si="61"/>
        <v>33.013200795228627</v>
      </c>
      <c r="BG70" s="2">
        <f t="shared" si="62"/>
        <v>121.80510106030498</v>
      </c>
      <c r="BH70" s="2">
        <f t="shared" si="63"/>
        <v>543.26849928366755</v>
      </c>
      <c r="BI70" s="2">
        <f t="shared" si="64"/>
        <v>69.997132879656149</v>
      </c>
      <c r="BJ70" s="2">
        <f t="shared" si="65"/>
        <v>11.972958452722061</v>
      </c>
      <c r="BK70" s="2">
        <f t="shared" si="66"/>
        <v>14.607048710601767</v>
      </c>
      <c r="BL70" s="2">
        <f t="shared" si="42"/>
        <v>578.81898939695168</v>
      </c>
      <c r="BM70" s="20">
        <f t="shared" si="67"/>
        <v>78.590666003976153</v>
      </c>
      <c r="BN70" s="20">
        <f t="shared" si="68"/>
        <v>16.800695825049701</v>
      </c>
      <c r="BO70" s="2">
        <f t="shared" si="69"/>
        <v>14.79320410868128</v>
      </c>
      <c r="BP70" s="18">
        <f t="shared" si="70"/>
        <v>0.75429258889712791</v>
      </c>
      <c r="BQ70" s="18">
        <f t="shared" si="71"/>
        <v>0.77530115678381928</v>
      </c>
      <c r="BR70" s="18">
        <f t="shared" si="72"/>
        <v>0.1093969054056832</v>
      </c>
      <c r="BS70" s="18">
        <f t="shared" si="73"/>
        <v>0.11406423870455001</v>
      </c>
      <c r="BT70" s="29">
        <f>BD70/Kool!BJ70</f>
        <v>1.0072057896718996</v>
      </c>
      <c r="BU70" s="27">
        <v>17.07</v>
      </c>
      <c r="BV70" s="27">
        <v>17.21</v>
      </c>
      <c r="BW70" s="27">
        <f t="shared" si="74"/>
        <v>17.897435897435898</v>
      </c>
      <c r="BX70" s="27">
        <f t="shared" si="75"/>
        <v>16.766666666666666</v>
      </c>
      <c r="BY70" s="2">
        <v>1668.103831977189</v>
      </c>
      <c r="BZ70" s="2">
        <v>1678.592448622913</v>
      </c>
      <c r="CA70" s="2">
        <f>VLOOKUP(A70,'[1]kaugused autoga'!$A$3:$B$82,2,FALSE)</f>
        <v>2190.6999999999998</v>
      </c>
      <c r="CB70" s="29">
        <v>1.88</v>
      </c>
      <c r="CC70">
        <v>6459</v>
      </c>
      <c r="CD70" s="18">
        <v>0.99025857766113312</v>
      </c>
      <c r="CE70" t="s">
        <v>234</v>
      </c>
      <c r="CG70" s="27">
        <f t="shared" si="76"/>
        <v>16.766666666666666</v>
      </c>
      <c r="CH70" s="2">
        <f t="shared" si="77"/>
        <v>1678.592448622913</v>
      </c>
      <c r="CI70" s="56">
        <f t="shared" si="78"/>
        <v>0.99025857766113312</v>
      </c>
    </row>
    <row r="71" spans="1:87" ht="14.25" customHeight="1" x14ac:dyDescent="0.35">
      <c r="A71" t="s">
        <v>132</v>
      </c>
      <c r="B71" s="10" t="s">
        <v>75</v>
      </c>
      <c r="C71" s="11">
        <v>53523.38</v>
      </c>
      <c r="D71" s="11">
        <v>1233.3900000000001</v>
      </c>
      <c r="E71" s="11">
        <v>408965.62000000023</v>
      </c>
      <c r="F71" s="11">
        <v>127777.49</v>
      </c>
      <c r="G71" s="11"/>
      <c r="H71" s="11">
        <v>1468393.2</v>
      </c>
      <c r="I71" s="11">
        <v>89083.680000000008</v>
      </c>
      <c r="J71" s="11">
        <f>Kool!AY71</f>
        <v>175995.9734615385</v>
      </c>
      <c r="K71" s="12">
        <f t="shared" si="45"/>
        <v>2069417.7534615386</v>
      </c>
      <c r="L71" s="11">
        <v>49572.5</v>
      </c>
      <c r="M71" s="13"/>
      <c r="N71" s="11">
        <v>370896.77</v>
      </c>
      <c r="O71" s="11">
        <v>127697.53</v>
      </c>
      <c r="P71" s="11"/>
      <c r="Q71" s="11">
        <v>1507101.39</v>
      </c>
      <c r="R71" s="11">
        <v>91888.909999999989</v>
      </c>
      <c r="S71" s="11">
        <f>Kool!AZ71</f>
        <v>0</v>
      </c>
      <c r="T71" s="12">
        <f t="shared" si="46"/>
        <v>1891762.0399999998</v>
      </c>
      <c r="U71" s="11">
        <v>272525.12999999989</v>
      </c>
      <c r="V71" s="11">
        <v>123257.16</v>
      </c>
      <c r="W71" s="11">
        <v>50502.35</v>
      </c>
      <c r="X71" s="11"/>
      <c r="Y71" s="11">
        <v>76593</v>
      </c>
      <c r="Z71" s="11">
        <v>73755</v>
      </c>
      <c r="AA71" s="11">
        <v>261965.83</v>
      </c>
      <c r="AB71" s="11">
        <v>122712.72</v>
      </c>
      <c r="AC71" s="11">
        <v>51967.5</v>
      </c>
      <c r="AD71" s="11"/>
      <c r="AE71" s="11">
        <v>79693</v>
      </c>
      <c r="AF71" s="11">
        <v>73043</v>
      </c>
      <c r="AG71" s="33">
        <v>248</v>
      </c>
      <c r="AH71" s="33">
        <v>40</v>
      </c>
      <c r="AI71" s="2">
        <f t="shared" si="47"/>
        <v>288</v>
      </c>
      <c r="AJ71" s="18">
        <f t="shared" si="48"/>
        <v>0.1388888888888889</v>
      </c>
      <c r="AK71" s="33">
        <v>282</v>
      </c>
      <c r="AL71" s="33">
        <v>0</v>
      </c>
      <c r="AM71" s="2">
        <f t="shared" si="49"/>
        <v>282</v>
      </c>
      <c r="AN71" s="18">
        <f t="shared" si="50"/>
        <v>0</v>
      </c>
      <c r="AO71" s="2">
        <v>258</v>
      </c>
      <c r="AP71" s="2">
        <v>0</v>
      </c>
      <c r="AQ71" s="2">
        <f t="shared" si="51"/>
        <v>258</v>
      </c>
      <c r="AR71" s="18">
        <f t="shared" si="52"/>
        <v>0</v>
      </c>
      <c r="AS71" s="34">
        <f t="shared" si="43"/>
        <v>286</v>
      </c>
      <c r="AT71" s="34">
        <f t="shared" si="44"/>
        <v>274</v>
      </c>
      <c r="AU71" s="34">
        <v>16</v>
      </c>
      <c r="AV71" s="34">
        <v>16</v>
      </c>
      <c r="AW71" s="34">
        <v>16</v>
      </c>
      <c r="AX71" s="34">
        <f t="shared" si="53"/>
        <v>16</v>
      </c>
      <c r="AY71" s="34">
        <f t="shared" si="54"/>
        <v>16</v>
      </c>
      <c r="AZ71" s="2">
        <f t="shared" si="55"/>
        <v>602.97720089205666</v>
      </c>
      <c r="BA71" s="2">
        <f t="shared" si="56"/>
        <v>427.8534965034965</v>
      </c>
      <c r="BB71" s="2">
        <f t="shared" si="57"/>
        <v>25.956783216783219</v>
      </c>
      <c r="BC71" s="2">
        <f t="shared" si="58"/>
        <v>149.16692117177695</v>
      </c>
      <c r="BD71" s="2">
        <f t="shared" si="59"/>
        <v>575.35341849148415</v>
      </c>
      <c r="BE71" s="2">
        <f t="shared" si="60"/>
        <v>458.36416970802912</v>
      </c>
      <c r="BF71" s="2">
        <f t="shared" si="61"/>
        <v>27.946748783454982</v>
      </c>
      <c r="BG71" s="2">
        <f t="shared" si="62"/>
        <v>89.042500000000047</v>
      </c>
      <c r="BH71" s="2">
        <f t="shared" si="63"/>
        <v>502.07972711583301</v>
      </c>
      <c r="BI71" s="2">
        <f t="shared" si="64"/>
        <v>50.629227855477858</v>
      </c>
      <c r="BJ71" s="2">
        <f t="shared" si="65"/>
        <v>22.317307692307693</v>
      </c>
      <c r="BK71" s="2">
        <f t="shared" si="66"/>
        <v>27.950938228438098</v>
      </c>
      <c r="BL71" s="2">
        <f t="shared" si="42"/>
        <v>473.46508819951327</v>
      </c>
      <c r="BM71" s="20">
        <f t="shared" si="67"/>
        <v>53.126587591240877</v>
      </c>
      <c r="BN71" s="20">
        <f t="shared" si="68"/>
        <v>24.237530413625304</v>
      </c>
      <c r="BO71" s="2">
        <f t="shared" si="69"/>
        <v>24.524212287104692</v>
      </c>
      <c r="BP71" s="18">
        <f t="shared" si="70"/>
        <v>0.70956828196907173</v>
      </c>
      <c r="BQ71" s="18">
        <f t="shared" si="71"/>
        <v>0.79666541464168494</v>
      </c>
      <c r="BR71" s="18">
        <f t="shared" si="72"/>
        <v>8.3965409936853252E-2</v>
      </c>
      <c r="BS71" s="18">
        <f t="shared" si="73"/>
        <v>9.233731109225557E-2</v>
      </c>
      <c r="BT71" s="29">
        <f>BD71/Kool!BJ71</f>
        <v>0.97250607048169646</v>
      </c>
      <c r="BU71" s="27">
        <v>17.440000000000001</v>
      </c>
      <c r="BV71" s="27">
        <v>16.13</v>
      </c>
      <c r="BW71" s="27">
        <f t="shared" si="74"/>
        <v>17.875</v>
      </c>
      <c r="BX71" s="27">
        <f t="shared" si="75"/>
        <v>17.125</v>
      </c>
      <c r="BY71" s="2">
        <v>1667.9120811934461</v>
      </c>
      <c r="BZ71" s="2">
        <v>1615.3744460414421</v>
      </c>
      <c r="CA71" s="2">
        <f>VLOOKUP(A71,'[1]kaugused autoga'!$A$3:$B$82,2,FALSE)</f>
        <v>3625.6</v>
      </c>
      <c r="CB71" s="29">
        <v>2.0299999999999998</v>
      </c>
      <c r="CC71">
        <v>7097</v>
      </c>
      <c r="CD71" s="18">
        <v>0.98310295782274837</v>
      </c>
      <c r="CE71" t="s">
        <v>234</v>
      </c>
      <c r="CG71" s="27">
        <f t="shared" si="76"/>
        <v>17.125</v>
      </c>
      <c r="CH71" s="2">
        <f t="shared" si="77"/>
        <v>1615.3744460414421</v>
      </c>
      <c r="CI71" s="56">
        <f t="shared" si="78"/>
        <v>0.98310295782274837</v>
      </c>
    </row>
    <row r="72" spans="1:87" ht="14.25" customHeight="1" x14ac:dyDescent="0.35">
      <c r="A72" t="s">
        <v>96</v>
      </c>
      <c r="B72" s="10" t="s">
        <v>76</v>
      </c>
      <c r="C72" s="11">
        <v>260026.23</v>
      </c>
      <c r="D72" s="11">
        <v>2383.19</v>
      </c>
      <c r="E72" s="11">
        <v>1778585.9</v>
      </c>
      <c r="F72" s="11">
        <v>554995.5199999999</v>
      </c>
      <c r="G72" s="11"/>
      <c r="H72" s="11">
        <v>4560793.32</v>
      </c>
      <c r="I72" s="11">
        <v>537249.80999999994</v>
      </c>
      <c r="J72" s="11">
        <f>Kool!AY72</f>
        <v>0</v>
      </c>
      <c r="K72" s="12">
        <f t="shared" si="45"/>
        <v>6584042.9299999997</v>
      </c>
      <c r="L72" s="11">
        <v>279942.78000000003</v>
      </c>
      <c r="M72" s="11">
        <v>39.130000000000003</v>
      </c>
      <c r="N72" s="11">
        <v>1894371.83</v>
      </c>
      <c r="O72" s="11">
        <v>645335.82000000007</v>
      </c>
      <c r="P72" s="11"/>
      <c r="Q72" s="11">
        <v>4710150.0999999996</v>
      </c>
      <c r="R72" s="11">
        <v>530479.5</v>
      </c>
      <c r="S72" s="11">
        <f>Kool!AZ72</f>
        <v>0</v>
      </c>
      <c r="T72" s="12">
        <f t="shared" si="46"/>
        <v>6769647.5199999996</v>
      </c>
      <c r="U72" s="11">
        <v>1212851.05</v>
      </c>
      <c r="V72" s="11">
        <v>749650.83</v>
      </c>
      <c r="W72" s="11">
        <v>235537.5</v>
      </c>
      <c r="X72" s="11"/>
      <c r="Y72" s="11">
        <v>211598.17</v>
      </c>
      <c r="Z72" s="11">
        <v>321701</v>
      </c>
      <c r="AA72" s="11">
        <v>1187700.47</v>
      </c>
      <c r="AB72" s="11">
        <v>737043.63</v>
      </c>
      <c r="AC72" s="11">
        <v>229967.85</v>
      </c>
      <c r="AD72" s="11"/>
      <c r="AE72" s="11">
        <v>212432.67</v>
      </c>
      <c r="AF72" s="11">
        <v>326849</v>
      </c>
      <c r="AG72" s="33">
        <v>858</v>
      </c>
      <c r="AH72" s="33">
        <v>0</v>
      </c>
      <c r="AI72" s="2">
        <f t="shared" si="47"/>
        <v>858</v>
      </c>
      <c r="AJ72" s="18">
        <f t="shared" si="48"/>
        <v>0</v>
      </c>
      <c r="AK72" s="33">
        <v>876</v>
      </c>
      <c r="AL72" s="33">
        <v>0</v>
      </c>
      <c r="AM72" s="2">
        <f t="shared" si="49"/>
        <v>876</v>
      </c>
      <c r="AN72" s="18">
        <f t="shared" si="50"/>
        <v>0</v>
      </c>
      <c r="AO72" s="2">
        <v>845</v>
      </c>
      <c r="AP72" s="2">
        <v>0</v>
      </c>
      <c r="AQ72" s="2">
        <f t="shared" si="51"/>
        <v>845</v>
      </c>
      <c r="AR72" s="18">
        <f t="shared" si="52"/>
        <v>0</v>
      </c>
      <c r="AS72" s="34">
        <f t="shared" si="43"/>
        <v>864</v>
      </c>
      <c r="AT72" s="34">
        <f t="shared" si="44"/>
        <v>865.66666666666674</v>
      </c>
      <c r="AU72" s="34">
        <v>55</v>
      </c>
      <c r="AV72" s="34">
        <v>56</v>
      </c>
      <c r="AW72" s="34">
        <v>56</v>
      </c>
      <c r="AX72" s="34">
        <f t="shared" si="53"/>
        <v>55.333333333333329</v>
      </c>
      <c r="AY72" s="34">
        <f t="shared" si="54"/>
        <v>56</v>
      </c>
      <c r="AZ72" s="2">
        <f t="shared" si="55"/>
        <v>635.03500482253082</v>
      </c>
      <c r="BA72" s="2">
        <f t="shared" si="56"/>
        <v>439.89133101851854</v>
      </c>
      <c r="BB72" s="2">
        <f t="shared" si="57"/>
        <v>51.818075810185178</v>
      </c>
      <c r="BC72" s="2">
        <f t="shared" si="58"/>
        <v>143.3255979938271</v>
      </c>
      <c r="BD72" s="2">
        <f t="shared" si="59"/>
        <v>651.67958413554095</v>
      </c>
      <c r="BE72" s="2">
        <f t="shared" si="60"/>
        <v>453.42222757027326</v>
      </c>
      <c r="BF72" s="2">
        <f t="shared" si="61"/>
        <v>51.066567192914896</v>
      </c>
      <c r="BG72" s="2">
        <f t="shared" si="62"/>
        <v>147.19078937235278</v>
      </c>
      <c r="BH72" s="2">
        <f t="shared" si="63"/>
        <v>487.02651234567901</v>
      </c>
      <c r="BI72" s="2">
        <f t="shared" si="64"/>
        <v>95.022022569444445</v>
      </c>
      <c r="BJ72" s="2">
        <f t="shared" si="65"/>
        <v>20.408774112654324</v>
      </c>
      <c r="BK72" s="2">
        <f t="shared" si="66"/>
        <v>32.577695794753041</v>
      </c>
      <c r="BL72" s="2">
        <f t="shared" si="42"/>
        <v>505.88159896033881</v>
      </c>
      <c r="BM72" s="20">
        <f t="shared" si="67"/>
        <v>93.089283788987288</v>
      </c>
      <c r="BN72" s="20">
        <f t="shared" si="68"/>
        <v>20.449814208702346</v>
      </c>
      <c r="BO72" s="2">
        <f t="shared" si="69"/>
        <v>32.258887177512506</v>
      </c>
      <c r="BP72" s="18">
        <f t="shared" si="70"/>
        <v>0.69270406777253513</v>
      </c>
      <c r="BQ72" s="18">
        <f t="shared" si="71"/>
        <v>0.69577479271771581</v>
      </c>
      <c r="BR72" s="18">
        <f t="shared" si="72"/>
        <v>0.14963273181452358</v>
      </c>
      <c r="BS72" s="18">
        <f t="shared" si="73"/>
        <v>0.14284517430827773</v>
      </c>
      <c r="BT72" s="29">
        <f>BD72/Kool!BJ72</f>
        <v>1.7210073059557978</v>
      </c>
      <c r="BU72" s="27">
        <v>16.02</v>
      </c>
      <c r="BV72" s="27">
        <v>15.46</v>
      </c>
      <c r="BW72" s="27">
        <f t="shared" si="74"/>
        <v>15.614457831325302</v>
      </c>
      <c r="BX72" s="27">
        <f t="shared" si="75"/>
        <v>15.458333333333334</v>
      </c>
      <c r="BY72" s="2">
        <v>1687.0050515255609</v>
      </c>
      <c r="BZ72" s="2">
        <v>1713.7099616033299</v>
      </c>
      <c r="CA72" s="2">
        <f>VLOOKUP(A72,'[1]kaugused autoga'!$A$3:$B$82,2,FALSE)</f>
        <v>653.70000000000005</v>
      </c>
      <c r="CB72" s="29">
        <v>1</v>
      </c>
      <c r="CC72">
        <v>16800</v>
      </c>
      <c r="CD72" s="18">
        <v>0.98965138504950401</v>
      </c>
      <c r="CE72" t="s">
        <v>234</v>
      </c>
      <c r="CG72" s="27">
        <f t="shared" si="76"/>
        <v>15.458333333333334</v>
      </c>
      <c r="CH72" s="2">
        <f t="shared" si="77"/>
        <v>1713.7099616033299</v>
      </c>
      <c r="CI72" s="56">
        <f t="shared" si="78"/>
        <v>0.98965138504950401</v>
      </c>
    </row>
    <row r="73" spans="1:87" ht="14.25" customHeight="1" x14ac:dyDescent="0.35">
      <c r="A73" t="s">
        <v>95</v>
      </c>
      <c r="B73" s="10" t="s">
        <v>77</v>
      </c>
      <c r="C73" s="11">
        <v>171039.73</v>
      </c>
      <c r="D73" s="13"/>
      <c r="E73" s="11">
        <v>1179337.6499999999</v>
      </c>
      <c r="F73" s="11">
        <v>313651.36</v>
      </c>
      <c r="G73" s="11">
        <v>290</v>
      </c>
      <c r="H73" s="11">
        <v>3934012.98</v>
      </c>
      <c r="I73" s="11">
        <v>253435.81</v>
      </c>
      <c r="J73" s="11">
        <f>Kool!AY73</f>
        <v>0</v>
      </c>
      <c r="K73" s="12">
        <f t="shared" si="45"/>
        <v>5224174.8099999996</v>
      </c>
      <c r="L73" s="11">
        <v>191929.74</v>
      </c>
      <c r="M73" s="11">
        <v>4300.8599999999997</v>
      </c>
      <c r="N73" s="11">
        <v>1246040.8700000001</v>
      </c>
      <c r="O73" s="11">
        <v>329896.74</v>
      </c>
      <c r="P73" s="11">
        <v>290</v>
      </c>
      <c r="Q73" s="11">
        <v>4028482.48</v>
      </c>
      <c r="R73" s="11">
        <v>251448.91</v>
      </c>
      <c r="S73" s="11">
        <f>Kool!AZ73</f>
        <v>0</v>
      </c>
      <c r="T73" s="12">
        <f t="shared" si="46"/>
        <v>5392306.1200000001</v>
      </c>
      <c r="U73" s="11">
        <v>795726.22</v>
      </c>
      <c r="V73" s="11">
        <v>144290.91</v>
      </c>
      <c r="W73" s="11">
        <v>210993</v>
      </c>
      <c r="X73" s="11"/>
      <c r="Y73" s="11">
        <v>419670</v>
      </c>
      <c r="Z73" s="11">
        <v>167324</v>
      </c>
      <c r="AA73" s="11">
        <v>828902.61</v>
      </c>
      <c r="AB73" s="11">
        <v>146014</v>
      </c>
      <c r="AC73" s="11">
        <v>213867</v>
      </c>
      <c r="AD73" s="11"/>
      <c r="AE73" s="11">
        <v>456510</v>
      </c>
      <c r="AF73" s="11">
        <v>168461</v>
      </c>
      <c r="AG73" s="33">
        <v>449</v>
      </c>
      <c r="AH73" s="33">
        <v>205</v>
      </c>
      <c r="AI73" s="2">
        <f t="shared" si="47"/>
        <v>654</v>
      </c>
      <c r="AJ73" s="18">
        <f t="shared" si="48"/>
        <v>0.31345565749235477</v>
      </c>
      <c r="AK73" s="33">
        <v>457</v>
      </c>
      <c r="AL73" s="33">
        <v>198</v>
      </c>
      <c r="AM73" s="2">
        <f t="shared" si="49"/>
        <v>655</v>
      </c>
      <c r="AN73" s="18">
        <f t="shared" si="50"/>
        <v>0.30229007633587784</v>
      </c>
      <c r="AO73" s="2">
        <v>454</v>
      </c>
      <c r="AP73" s="2">
        <v>194</v>
      </c>
      <c r="AQ73" s="2">
        <f t="shared" si="51"/>
        <v>648</v>
      </c>
      <c r="AR73" s="18">
        <f t="shared" si="52"/>
        <v>0.29938271604938271</v>
      </c>
      <c r="AS73" s="34">
        <f t="shared" si="43"/>
        <v>654.33333333333337</v>
      </c>
      <c r="AT73" s="34">
        <f t="shared" si="44"/>
        <v>652.66666666666674</v>
      </c>
      <c r="AU73" s="34">
        <v>40</v>
      </c>
      <c r="AV73" s="34">
        <v>42</v>
      </c>
      <c r="AW73" s="34">
        <v>42</v>
      </c>
      <c r="AX73" s="34">
        <f t="shared" si="53"/>
        <v>40.666666666666671</v>
      </c>
      <c r="AY73" s="34">
        <f t="shared" si="54"/>
        <v>42</v>
      </c>
      <c r="AZ73" s="2">
        <f t="shared" si="55"/>
        <v>665.33046484971976</v>
      </c>
      <c r="BA73" s="2">
        <f t="shared" si="56"/>
        <v>501.02050178298515</v>
      </c>
      <c r="BB73" s="2">
        <f t="shared" si="57"/>
        <v>32.313526490066224</v>
      </c>
      <c r="BC73" s="2">
        <f t="shared" si="58"/>
        <v>131.99643657666837</v>
      </c>
      <c r="BD73" s="2">
        <f t="shared" si="59"/>
        <v>688.49669560776294</v>
      </c>
      <c r="BE73" s="2">
        <f t="shared" si="60"/>
        <v>514.36191011235951</v>
      </c>
      <c r="BF73" s="2">
        <f t="shared" si="61"/>
        <v>32.14235316649642</v>
      </c>
      <c r="BG73" s="2">
        <f t="shared" si="62"/>
        <v>141.992432328907</v>
      </c>
      <c r="BH73" s="2">
        <f t="shared" si="63"/>
        <v>542.6801566479877</v>
      </c>
      <c r="BI73" s="2">
        <f t="shared" si="64"/>
        <v>45.247568772287316</v>
      </c>
      <c r="BJ73" s="2">
        <f t="shared" si="65"/>
        <v>53.447529291900146</v>
      </c>
      <c r="BK73" s="2">
        <f t="shared" si="66"/>
        <v>23.955210137544604</v>
      </c>
      <c r="BL73" s="2">
        <f t="shared" si="42"/>
        <v>561.15200587334004</v>
      </c>
      <c r="BM73" s="20">
        <f t="shared" si="67"/>
        <v>45.950076608784464</v>
      </c>
      <c r="BN73" s="20">
        <f t="shared" si="68"/>
        <v>58.287793667007143</v>
      </c>
      <c r="BO73" s="2">
        <f t="shared" si="69"/>
        <v>23.1068194586313</v>
      </c>
      <c r="BP73" s="18">
        <f t="shared" si="70"/>
        <v>0.75304007294503217</v>
      </c>
      <c r="BQ73" s="18">
        <f t="shared" si="71"/>
        <v>0.74707970770769228</v>
      </c>
      <c r="BR73" s="18">
        <f t="shared" si="72"/>
        <v>6.8007661098921007E-2</v>
      </c>
      <c r="BS73" s="18">
        <f t="shared" si="73"/>
        <v>6.6739719888157981E-2</v>
      </c>
      <c r="BT73" s="29">
        <f>BD73/Kool!BJ73</f>
        <v>1.0030221168833113</v>
      </c>
      <c r="BU73" s="27">
        <v>15.55</v>
      </c>
      <c r="BV73" s="27">
        <v>15.46</v>
      </c>
      <c r="BW73" s="27">
        <f t="shared" si="74"/>
        <v>16.090163934426229</v>
      </c>
      <c r="BX73" s="27">
        <f t="shared" si="75"/>
        <v>15.539682539682541</v>
      </c>
      <c r="BY73" s="2">
        <v>1656.47338161879</v>
      </c>
      <c r="BZ73" s="2">
        <v>1645.8932972556649</v>
      </c>
      <c r="CA73" s="2">
        <f>VLOOKUP(A73,'[1]kaugused autoga'!$A$3:$B$82,2,FALSE)</f>
        <v>3058.8</v>
      </c>
      <c r="CB73" s="29">
        <v>1.96</v>
      </c>
      <c r="CC73">
        <v>13375</v>
      </c>
      <c r="CD73" s="18">
        <v>0.99227950564116318</v>
      </c>
      <c r="CE73" t="s">
        <v>234</v>
      </c>
      <c r="CG73" s="27">
        <f t="shared" si="76"/>
        <v>15.539682539682541</v>
      </c>
      <c r="CH73" s="2">
        <f t="shared" si="77"/>
        <v>1645.8932972556649</v>
      </c>
      <c r="CI73" s="56">
        <f t="shared" si="78"/>
        <v>0.99227950564116318</v>
      </c>
    </row>
    <row r="74" spans="1:87" ht="14.25" customHeight="1" x14ac:dyDescent="0.35">
      <c r="A74" t="s">
        <v>121</v>
      </c>
      <c r="B74" s="10" t="s">
        <v>78</v>
      </c>
      <c r="C74" s="11">
        <v>80447.78</v>
      </c>
      <c r="D74" s="11">
        <v>682.63</v>
      </c>
      <c r="E74" s="11">
        <v>519087.99000000011</v>
      </c>
      <c r="F74" s="11">
        <v>114304.29</v>
      </c>
      <c r="G74" s="11">
        <v>36072</v>
      </c>
      <c r="H74" s="11">
        <v>2275562.38</v>
      </c>
      <c r="I74" s="11">
        <v>93889.35</v>
      </c>
      <c r="J74" s="11">
        <f>Kool!AY74</f>
        <v>0</v>
      </c>
      <c r="K74" s="12">
        <f t="shared" si="45"/>
        <v>2855365.8400000003</v>
      </c>
      <c r="L74" s="11">
        <v>89283.430000000008</v>
      </c>
      <c r="M74" s="13"/>
      <c r="N74" s="11">
        <v>544921.37000000011</v>
      </c>
      <c r="O74" s="11">
        <v>115441.47</v>
      </c>
      <c r="P74" s="11">
        <v>36072</v>
      </c>
      <c r="Q74" s="11">
        <v>2369371.0299999998</v>
      </c>
      <c r="R74" s="11">
        <v>88523</v>
      </c>
      <c r="S74" s="11">
        <f>Kool!AZ74</f>
        <v>0</v>
      </c>
      <c r="T74" s="12">
        <f t="shared" si="46"/>
        <v>2976657.36</v>
      </c>
      <c r="U74" s="11">
        <v>533202.13</v>
      </c>
      <c r="V74" s="11">
        <v>162612.53</v>
      </c>
      <c r="W74" s="11">
        <v>120618.05</v>
      </c>
      <c r="X74" s="11"/>
      <c r="Y74" s="11">
        <v>229892.1</v>
      </c>
      <c r="Z74" s="11">
        <v>130680</v>
      </c>
      <c r="AA74" s="11">
        <v>548640.15000000014</v>
      </c>
      <c r="AB74" s="11">
        <v>173985.84</v>
      </c>
      <c r="AC74" s="11">
        <v>122905.56</v>
      </c>
      <c r="AD74" s="11"/>
      <c r="AE74" s="11">
        <v>242090</v>
      </c>
      <c r="AF74" s="11">
        <v>129426</v>
      </c>
      <c r="AG74" s="33">
        <v>281</v>
      </c>
      <c r="AH74" s="33">
        <v>108</v>
      </c>
      <c r="AI74" s="2">
        <f t="shared" si="47"/>
        <v>389</v>
      </c>
      <c r="AJ74" s="18">
        <f t="shared" si="48"/>
        <v>0.27763496143958871</v>
      </c>
      <c r="AK74" s="33">
        <v>273</v>
      </c>
      <c r="AL74" s="33">
        <v>95</v>
      </c>
      <c r="AM74" s="2">
        <f t="shared" si="49"/>
        <v>368</v>
      </c>
      <c r="AN74" s="18">
        <f t="shared" si="50"/>
        <v>0.25815217391304346</v>
      </c>
      <c r="AO74" s="2">
        <v>264</v>
      </c>
      <c r="AP74" s="2">
        <v>84</v>
      </c>
      <c r="AQ74" s="2">
        <f t="shared" si="51"/>
        <v>348</v>
      </c>
      <c r="AR74" s="18">
        <f t="shared" si="52"/>
        <v>0.2413793103448276</v>
      </c>
      <c r="AS74" s="34">
        <f t="shared" si="43"/>
        <v>382</v>
      </c>
      <c r="AT74" s="34">
        <f t="shared" si="44"/>
        <v>361.33333333333337</v>
      </c>
      <c r="AU74" s="34">
        <v>26</v>
      </c>
      <c r="AV74" s="34">
        <v>26</v>
      </c>
      <c r="AW74" s="34">
        <v>26</v>
      </c>
      <c r="AX74" s="34">
        <f t="shared" si="53"/>
        <v>26</v>
      </c>
      <c r="AY74" s="34">
        <f t="shared" si="54"/>
        <v>26</v>
      </c>
      <c r="AZ74" s="2">
        <f t="shared" si="55"/>
        <v>622.89830715532287</v>
      </c>
      <c r="BA74" s="2">
        <f t="shared" si="56"/>
        <v>496.41413176265269</v>
      </c>
      <c r="BB74" s="2">
        <f t="shared" si="57"/>
        <v>28.351079842931938</v>
      </c>
      <c r="BC74" s="2">
        <f t="shared" si="58"/>
        <v>98.133095549738243</v>
      </c>
      <c r="BD74" s="2">
        <f t="shared" si="59"/>
        <v>686.49846863468622</v>
      </c>
      <c r="BE74" s="2">
        <f t="shared" si="60"/>
        <v>546.44165821033198</v>
      </c>
      <c r="BF74" s="2">
        <f t="shared" si="61"/>
        <v>28.735009225092245</v>
      </c>
      <c r="BG74" s="2">
        <f t="shared" si="62"/>
        <v>111.321801199262</v>
      </c>
      <c r="BH74" s="2">
        <f t="shared" si="63"/>
        <v>478.07236256544508</v>
      </c>
      <c r="BI74" s="2">
        <f t="shared" si="64"/>
        <v>61.786775741710301</v>
      </c>
      <c r="BJ74" s="2">
        <f t="shared" si="65"/>
        <v>50.150981675392671</v>
      </c>
      <c r="BK74" s="2">
        <f t="shared" si="66"/>
        <v>32.888187172774821</v>
      </c>
      <c r="BL74" s="2">
        <f t="shared" si="42"/>
        <v>530.11789898523978</v>
      </c>
      <c r="BM74" s="20">
        <f t="shared" si="67"/>
        <v>68.471263837638375</v>
      </c>
      <c r="BN74" s="20">
        <f t="shared" si="68"/>
        <v>55.832564575645755</v>
      </c>
      <c r="BO74" s="2">
        <f t="shared" si="69"/>
        <v>32.076741236162313</v>
      </c>
      <c r="BP74" s="18">
        <f t="shared" si="70"/>
        <v>0.79694249616714607</v>
      </c>
      <c r="BQ74" s="18">
        <f t="shared" si="71"/>
        <v>0.79598379774553563</v>
      </c>
      <c r="BR74" s="18">
        <f t="shared" si="72"/>
        <v>9.919239630603692E-2</v>
      </c>
      <c r="BS74" s="18">
        <f t="shared" si="73"/>
        <v>9.9739863912318094E-2</v>
      </c>
      <c r="BT74" s="29">
        <f>BD74/Kool!BJ74</f>
        <v>1.0646312596651173</v>
      </c>
      <c r="BU74" s="27">
        <v>14.32</v>
      </c>
      <c r="BV74" s="27">
        <v>13.65</v>
      </c>
      <c r="BW74" s="27">
        <f t="shared" si="74"/>
        <v>14.692307692307692</v>
      </c>
      <c r="BX74" s="27">
        <f t="shared" si="75"/>
        <v>13.8974358974359</v>
      </c>
      <c r="BY74" s="2">
        <v>1631.949747002149</v>
      </c>
      <c r="BZ74" s="2">
        <v>1673.597760100482</v>
      </c>
      <c r="CA74" s="2">
        <f>VLOOKUP(A74,'[1]kaugused autoga'!$A$3:$B$82,2,FALSE)</f>
        <v>2375.4</v>
      </c>
      <c r="CB74" s="29">
        <v>2</v>
      </c>
      <c r="CC74">
        <v>7621</v>
      </c>
      <c r="CD74" s="18">
        <v>0.98532395468324063</v>
      </c>
      <c r="CE74" t="s">
        <v>234</v>
      </c>
      <c r="CG74" s="27">
        <f t="shared" si="76"/>
        <v>13.8974358974359</v>
      </c>
      <c r="CH74" s="2">
        <f t="shared" si="77"/>
        <v>1673.597760100482</v>
      </c>
      <c r="CI74" s="56">
        <f t="shared" si="78"/>
        <v>0.98532395468324063</v>
      </c>
    </row>
    <row r="75" spans="1:87" ht="14.25" customHeight="1" x14ac:dyDescent="0.35">
      <c r="A75" t="s">
        <v>126</v>
      </c>
      <c r="B75" s="10" t="s">
        <v>79</v>
      </c>
      <c r="C75" s="11">
        <v>41477.730000000003</v>
      </c>
      <c r="D75" s="11">
        <v>3254.92</v>
      </c>
      <c r="E75" s="11">
        <v>335325.33</v>
      </c>
      <c r="F75" s="11">
        <v>117126.89</v>
      </c>
      <c r="G75" s="11">
        <v>124.59</v>
      </c>
      <c r="H75" s="11">
        <v>1485726.69</v>
      </c>
      <c r="I75" s="11">
        <v>9053.98</v>
      </c>
      <c r="J75" s="11">
        <f>Kool!AY75</f>
        <v>0</v>
      </c>
      <c r="K75" s="12">
        <f t="shared" si="45"/>
        <v>1757711.76</v>
      </c>
      <c r="L75" s="11">
        <v>50256.959999999999</v>
      </c>
      <c r="M75" s="11">
        <v>-1950.93</v>
      </c>
      <c r="N75" s="11">
        <v>364239.83</v>
      </c>
      <c r="O75" s="11">
        <v>109605.28</v>
      </c>
      <c r="P75" s="11">
        <v>67.25</v>
      </c>
      <c r="Q75" s="11">
        <v>1480718.96</v>
      </c>
      <c r="R75" s="11">
        <v>5865</v>
      </c>
      <c r="S75" s="11">
        <f>Kool!AZ75</f>
        <v>0</v>
      </c>
      <c r="T75" s="12">
        <f t="shared" si="46"/>
        <v>1789524.54</v>
      </c>
      <c r="U75" s="11">
        <v>371548.79</v>
      </c>
      <c r="V75" s="11">
        <v>190042.11</v>
      </c>
      <c r="W75" s="11">
        <v>58097.120000000003</v>
      </c>
      <c r="X75" s="11"/>
      <c r="Y75" s="11">
        <v>111173.31</v>
      </c>
      <c r="Z75" s="11">
        <v>47333</v>
      </c>
      <c r="AA75" s="11">
        <v>337664.10000000009</v>
      </c>
      <c r="AB75" s="11">
        <v>196966.64</v>
      </c>
      <c r="AC75" s="11">
        <v>60563.16</v>
      </c>
      <c r="AD75" s="11"/>
      <c r="AE75" s="11">
        <v>59714.61</v>
      </c>
      <c r="AF75" s="11">
        <v>49154</v>
      </c>
      <c r="AG75" s="33">
        <v>169</v>
      </c>
      <c r="AH75" s="33">
        <v>114</v>
      </c>
      <c r="AI75" s="2">
        <f t="shared" si="47"/>
        <v>283</v>
      </c>
      <c r="AJ75" s="18">
        <f t="shared" si="48"/>
        <v>0.40282685512367489</v>
      </c>
      <c r="AK75" s="33">
        <v>166</v>
      </c>
      <c r="AL75" s="33">
        <v>127</v>
      </c>
      <c r="AM75" s="2">
        <f t="shared" si="49"/>
        <v>293</v>
      </c>
      <c r="AN75" s="18">
        <f t="shared" si="50"/>
        <v>0.43344709897610922</v>
      </c>
      <c r="AO75" s="2">
        <v>155</v>
      </c>
      <c r="AP75" s="2">
        <v>106</v>
      </c>
      <c r="AQ75" s="2">
        <f t="shared" si="51"/>
        <v>261</v>
      </c>
      <c r="AR75" s="18">
        <f t="shared" si="52"/>
        <v>0.4061302681992337</v>
      </c>
      <c r="AS75" s="34">
        <f t="shared" si="43"/>
        <v>286.33333333333331</v>
      </c>
      <c r="AT75" s="34">
        <f t="shared" si="44"/>
        <v>282.33333333333337</v>
      </c>
      <c r="AU75" s="34">
        <v>17</v>
      </c>
      <c r="AV75" s="34">
        <v>17</v>
      </c>
      <c r="AW75" s="34">
        <v>16</v>
      </c>
      <c r="AX75" s="34">
        <f t="shared" si="53"/>
        <v>17</v>
      </c>
      <c r="AY75" s="34">
        <f t="shared" si="54"/>
        <v>16.666666666666668</v>
      </c>
      <c r="AZ75" s="2">
        <f t="shared" si="55"/>
        <v>511.55755529685683</v>
      </c>
      <c r="BA75" s="2">
        <f t="shared" si="56"/>
        <v>432.40008440046569</v>
      </c>
      <c r="BB75" s="2">
        <f t="shared" si="57"/>
        <v>2.6712951105937139</v>
      </c>
      <c r="BC75" s="2">
        <f t="shared" si="58"/>
        <v>76.486175785797428</v>
      </c>
      <c r="BD75" s="2">
        <f t="shared" si="59"/>
        <v>528.1949645808736</v>
      </c>
      <c r="BE75" s="2">
        <f t="shared" si="60"/>
        <v>437.04809917355368</v>
      </c>
      <c r="BF75" s="2">
        <f t="shared" si="61"/>
        <v>1.7509592680047223</v>
      </c>
      <c r="BG75" s="2">
        <f t="shared" si="62"/>
        <v>89.395906139315201</v>
      </c>
      <c r="BH75" s="2">
        <f t="shared" si="63"/>
        <v>389.64783760186265</v>
      </c>
      <c r="BI75" s="2">
        <f t="shared" si="64"/>
        <v>72.217470896391148</v>
      </c>
      <c r="BJ75" s="2">
        <f t="shared" si="65"/>
        <v>32.355445285215367</v>
      </c>
      <c r="BK75" s="2">
        <f t="shared" si="66"/>
        <v>17.33680151338767</v>
      </c>
      <c r="BL75" s="2">
        <f t="shared" si="42"/>
        <v>414.02197166469887</v>
      </c>
      <c r="BM75" s="20">
        <f t="shared" si="67"/>
        <v>76.012337662337657</v>
      </c>
      <c r="BN75" s="20">
        <f t="shared" si="68"/>
        <v>17.625327626918533</v>
      </c>
      <c r="BO75" s="2">
        <f t="shared" si="69"/>
        <v>20.535327626918544</v>
      </c>
      <c r="BP75" s="18">
        <f t="shared" si="70"/>
        <v>0.84526184771045743</v>
      </c>
      <c r="BQ75" s="18">
        <f t="shared" si="71"/>
        <v>0.82743708001903127</v>
      </c>
      <c r="BR75" s="18">
        <f t="shared" si="72"/>
        <v>0.14117174137811991</v>
      </c>
      <c r="BS75" s="18">
        <f t="shared" si="73"/>
        <v>0.14390962193790313</v>
      </c>
      <c r="BT75" s="29">
        <f>BD75/Kool!BJ75</f>
        <v>0.91652836735464216</v>
      </c>
      <c r="BU75" s="27">
        <v>17.239999999999998</v>
      </c>
      <c r="BV75" s="27">
        <v>16.309999999999999</v>
      </c>
      <c r="BW75" s="27">
        <f t="shared" si="74"/>
        <v>16.843137254901961</v>
      </c>
      <c r="BX75" s="27">
        <f t="shared" si="75"/>
        <v>16.940000000000001</v>
      </c>
      <c r="BY75" s="2">
        <v>1642.909489247312</v>
      </c>
      <c r="BZ75" s="2">
        <v>1676.2737752161379</v>
      </c>
      <c r="CA75" s="2">
        <f>VLOOKUP(A75,'[1]kaugused autoga'!$A$3:$B$82,2,FALSE)</f>
        <v>3175</v>
      </c>
      <c r="CB75" s="29">
        <v>1.85</v>
      </c>
      <c r="CC75">
        <v>6316</v>
      </c>
      <c r="CD75" s="18">
        <v>0.9956233241041833</v>
      </c>
      <c r="CE75" t="s">
        <v>234</v>
      </c>
      <c r="CG75" s="27">
        <f t="shared" si="76"/>
        <v>16.940000000000001</v>
      </c>
      <c r="CH75" s="2">
        <f t="shared" si="77"/>
        <v>1676.2737752161379</v>
      </c>
      <c r="CI75" s="56">
        <f t="shared" si="78"/>
        <v>0.9956233241041833</v>
      </c>
    </row>
    <row r="76" spans="1:87" ht="14.25" customHeight="1" x14ac:dyDescent="0.35">
      <c r="A76" t="s">
        <v>98</v>
      </c>
      <c r="B76" s="10" t="s">
        <v>80</v>
      </c>
      <c r="C76" s="11">
        <v>67824.61</v>
      </c>
      <c r="D76" s="13"/>
      <c r="E76" s="11">
        <v>563898.37999999989</v>
      </c>
      <c r="F76" s="11">
        <v>80252.209999999992</v>
      </c>
      <c r="G76" s="11">
        <v>2532.41</v>
      </c>
      <c r="H76" s="11">
        <v>3088545.11</v>
      </c>
      <c r="I76" s="11">
        <v>151035.95000000001</v>
      </c>
      <c r="J76" s="11">
        <f>Kool!AY76</f>
        <v>0</v>
      </c>
      <c r="K76" s="12">
        <f t="shared" si="45"/>
        <v>3791051.84</v>
      </c>
      <c r="L76" s="11">
        <v>82935.240000000005</v>
      </c>
      <c r="M76" s="13"/>
      <c r="N76" s="11">
        <v>486241.65</v>
      </c>
      <c r="O76" s="11">
        <v>70794.09</v>
      </c>
      <c r="P76" s="11">
        <v>2147.86</v>
      </c>
      <c r="Q76" s="11">
        <v>3240208.209999999</v>
      </c>
      <c r="R76" s="11">
        <v>139260.49</v>
      </c>
      <c r="S76" s="11">
        <f>Kool!AZ76</f>
        <v>0</v>
      </c>
      <c r="T76" s="12">
        <f t="shared" si="46"/>
        <v>3877851.4999999991</v>
      </c>
      <c r="U76" s="11">
        <v>611745.90999999992</v>
      </c>
      <c r="V76" s="11">
        <v>91246.32</v>
      </c>
      <c r="W76" s="11">
        <v>213595.65</v>
      </c>
      <c r="X76" s="11">
        <v>60830.879999999997</v>
      </c>
      <c r="Y76" s="11">
        <v>188250.12</v>
      </c>
      <c r="Z76" s="11">
        <v>133963</v>
      </c>
      <c r="AA76" s="11">
        <v>554400.1100000001</v>
      </c>
      <c r="AB76" s="11">
        <v>94200.7</v>
      </c>
      <c r="AC76" s="11">
        <v>209092.6</v>
      </c>
      <c r="AD76" s="11">
        <v>62780.78</v>
      </c>
      <c r="AE76" s="11">
        <v>150291.96</v>
      </c>
      <c r="AF76" s="11">
        <v>134631</v>
      </c>
      <c r="AG76" s="33">
        <v>465</v>
      </c>
      <c r="AH76" s="33">
        <v>114</v>
      </c>
      <c r="AI76" s="2">
        <f t="shared" si="47"/>
        <v>579</v>
      </c>
      <c r="AJ76" s="18">
        <f t="shared" si="48"/>
        <v>0.19689119170984457</v>
      </c>
      <c r="AK76" s="33">
        <v>462</v>
      </c>
      <c r="AL76" s="33">
        <v>115</v>
      </c>
      <c r="AM76" s="2">
        <f t="shared" si="49"/>
        <v>577</v>
      </c>
      <c r="AN76" s="18">
        <f t="shared" si="50"/>
        <v>0.19930675909878684</v>
      </c>
      <c r="AO76" s="2">
        <v>418</v>
      </c>
      <c r="AP76" s="2">
        <v>111</v>
      </c>
      <c r="AQ76" s="2">
        <f t="shared" si="51"/>
        <v>529</v>
      </c>
      <c r="AR76" s="18">
        <f t="shared" si="52"/>
        <v>0.20982986767485823</v>
      </c>
      <c r="AS76" s="34">
        <f t="shared" si="43"/>
        <v>578.33333333333337</v>
      </c>
      <c r="AT76" s="34">
        <f t="shared" si="44"/>
        <v>561</v>
      </c>
      <c r="AU76" s="34">
        <v>35</v>
      </c>
      <c r="AV76" s="34">
        <v>35</v>
      </c>
      <c r="AW76" s="34">
        <v>35</v>
      </c>
      <c r="AX76" s="34">
        <f t="shared" si="53"/>
        <v>35</v>
      </c>
      <c r="AY76" s="34">
        <f t="shared" si="54"/>
        <v>35</v>
      </c>
      <c r="AZ76" s="2">
        <f t="shared" si="55"/>
        <v>546.26107204610946</v>
      </c>
      <c r="BA76" s="2">
        <f t="shared" si="56"/>
        <v>445.03531844380399</v>
      </c>
      <c r="BB76" s="2">
        <f t="shared" si="57"/>
        <v>22.128005763688762</v>
      </c>
      <c r="BC76" s="2">
        <f t="shared" si="58"/>
        <v>79.097747838616712</v>
      </c>
      <c r="BD76" s="2">
        <f t="shared" si="59"/>
        <v>576.03260546642889</v>
      </c>
      <c r="BE76" s="2">
        <f t="shared" si="60"/>
        <v>481.31435086155665</v>
      </c>
      <c r="BF76" s="2">
        <f t="shared" si="61"/>
        <v>21.005399584076052</v>
      </c>
      <c r="BG76" s="2">
        <f t="shared" si="62"/>
        <v>73.712855020796184</v>
      </c>
      <c r="BH76" s="2">
        <f t="shared" si="63"/>
        <v>438.81022046109501</v>
      </c>
      <c r="BI76" s="2">
        <f t="shared" si="64"/>
        <v>52.690612391930834</v>
      </c>
      <c r="BJ76" s="2">
        <f t="shared" si="65"/>
        <v>27.125377521613832</v>
      </c>
      <c r="BK76" s="2">
        <f t="shared" si="66"/>
        <v>27.634861671469782</v>
      </c>
      <c r="BL76" s="2">
        <f t="shared" si="42"/>
        <v>473.68098484848468</v>
      </c>
      <c r="BM76" s="20">
        <f t="shared" si="67"/>
        <v>54.378205585264404</v>
      </c>
      <c r="BN76" s="20">
        <f t="shared" si="68"/>
        <v>22.325008912655971</v>
      </c>
      <c r="BO76" s="2">
        <f t="shared" si="69"/>
        <v>25.648406120023832</v>
      </c>
      <c r="BP76" s="18">
        <f t="shared" si="70"/>
        <v>0.81469345193654752</v>
      </c>
      <c r="BQ76" s="18">
        <f t="shared" si="71"/>
        <v>0.8355678937164045</v>
      </c>
      <c r="BR76" s="18">
        <f t="shared" si="72"/>
        <v>9.6456831885474825E-2</v>
      </c>
      <c r="BS76" s="18">
        <f t="shared" si="73"/>
        <v>9.4401263173692962E-2</v>
      </c>
      <c r="BT76" s="29">
        <f>BD76/Kool!BJ76</f>
        <v>1.2164702184036138</v>
      </c>
      <c r="BU76" s="27">
        <v>16.46</v>
      </c>
      <c r="BV76" s="27">
        <v>15.29</v>
      </c>
      <c r="BW76" s="27">
        <f t="shared" si="74"/>
        <v>16.523809523809526</v>
      </c>
      <c r="BX76" s="27">
        <f t="shared" si="75"/>
        <v>16.028571428571428</v>
      </c>
      <c r="BY76" s="2">
        <v>1753.4863048227189</v>
      </c>
      <c r="BZ76" s="2">
        <v>1774.7280521262001</v>
      </c>
      <c r="CA76" s="2">
        <f>VLOOKUP(A76,'[1]kaugused autoga'!$A$3:$B$82,2,FALSE)</f>
        <v>2022.7</v>
      </c>
      <c r="CB76" s="29">
        <v>1.2</v>
      </c>
      <c r="CC76">
        <v>14933</v>
      </c>
      <c r="CD76" s="18">
        <v>0.97447121929375458</v>
      </c>
      <c r="CE76" t="s">
        <v>234</v>
      </c>
      <c r="CG76" s="27">
        <f t="shared" si="76"/>
        <v>16.028571428571428</v>
      </c>
      <c r="CH76" s="2">
        <f t="shared" si="77"/>
        <v>1774.7280521262001</v>
      </c>
      <c r="CI76" s="56">
        <f t="shared" si="78"/>
        <v>0.97447121929375458</v>
      </c>
    </row>
    <row r="77" spans="1:87" ht="14.25" customHeight="1" x14ac:dyDescent="0.35">
      <c r="A77" t="s">
        <v>100</v>
      </c>
      <c r="B77" s="10" t="s">
        <v>81</v>
      </c>
      <c r="C77" s="11">
        <v>46862.78</v>
      </c>
      <c r="D77" s="11">
        <v>160.97999999999999</v>
      </c>
      <c r="E77" s="11">
        <v>356195.01000000013</v>
      </c>
      <c r="F77" s="11">
        <v>113932.05</v>
      </c>
      <c r="G77" s="11"/>
      <c r="H77" s="11">
        <v>1481210.94</v>
      </c>
      <c r="I77" s="11">
        <v>43093.56</v>
      </c>
      <c r="J77" s="11">
        <f>Kool!AY77</f>
        <v>0</v>
      </c>
      <c r="K77" s="12">
        <f t="shared" si="45"/>
        <v>1813591.2200000002</v>
      </c>
      <c r="L77" s="11">
        <v>53937.63</v>
      </c>
      <c r="M77" s="11">
        <v>92.04</v>
      </c>
      <c r="N77" s="11">
        <v>369911.61</v>
      </c>
      <c r="O77" s="11">
        <v>86726.399999999994</v>
      </c>
      <c r="P77" s="11"/>
      <c r="Q77" s="11">
        <v>1600640.91</v>
      </c>
      <c r="R77" s="11">
        <v>42899.35</v>
      </c>
      <c r="S77" s="11">
        <f>Kool!AZ77</f>
        <v>0</v>
      </c>
      <c r="T77" s="12">
        <f t="shared" si="46"/>
        <v>1980755.1400000001</v>
      </c>
      <c r="U77" s="11">
        <v>119110.36</v>
      </c>
      <c r="V77" s="11">
        <f>36002+18337</f>
        <v>54339</v>
      </c>
      <c r="W77" s="11">
        <v>2348</v>
      </c>
      <c r="X77" s="11"/>
      <c r="Y77" s="11">
        <v>56932</v>
      </c>
      <c r="Z77" s="11">
        <v>89500</v>
      </c>
      <c r="AA77" s="11">
        <v>126012.26</v>
      </c>
      <c r="AB77" s="11">
        <f>34293.5+17744</f>
        <v>52037.5</v>
      </c>
      <c r="AC77" s="11">
        <v>4622</v>
      </c>
      <c r="AD77" s="11"/>
      <c r="AE77" s="11">
        <v>57954</v>
      </c>
      <c r="AF77" s="11">
        <v>88603</v>
      </c>
      <c r="AG77" s="33">
        <v>247</v>
      </c>
      <c r="AH77" s="33">
        <v>46</v>
      </c>
      <c r="AI77" s="2">
        <f t="shared" si="47"/>
        <v>293</v>
      </c>
      <c r="AJ77" s="18">
        <f t="shared" si="48"/>
        <v>0.15699658703071673</v>
      </c>
      <c r="AK77" s="33">
        <v>232</v>
      </c>
      <c r="AL77" s="33">
        <v>48</v>
      </c>
      <c r="AM77" s="2">
        <f t="shared" si="49"/>
        <v>280</v>
      </c>
      <c r="AN77" s="18">
        <f t="shared" si="50"/>
        <v>0.17142857142857143</v>
      </c>
      <c r="AO77" s="2">
        <v>224</v>
      </c>
      <c r="AP77" s="2">
        <v>37</v>
      </c>
      <c r="AQ77" s="2">
        <f t="shared" si="51"/>
        <v>261</v>
      </c>
      <c r="AR77" s="18">
        <f t="shared" si="52"/>
        <v>0.1417624521072797</v>
      </c>
      <c r="AS77" s="34">
        <f t="shared" si="43"/>
        <v>288.66666666666669</v>
      </c>
      <c r="AT77" s="34">
        <f t="shared" si="44"/>
        <v>273.66666666666663</v>
      </c>
      <c r="AU77" s="34">
        <v>17</v>
      </c>
      <c r="AV77" s="34">
        <v>16</v>
      </c>
      <c r="AW77" s="34">
        <v>16</v>
      </c>
      <c r="AX77" s="34">
        <f t="shared" si="53"/>
        <v>16.666666666666668</v>
      </c>
      <c r="AY77" s="34">
        <f t="shared" si="54"/>
        <v>16</v>
      </c>
      <c r="AZ77" s="2">
        <f t="shared" si="55"/>
        <v>523.55404734411093</v>
      </c>
      <c r="BA77" s="2">
        <f t="shared" si="56"/>
        <v>427.60131062355657</v>
      </c>
      <c r="BB77" s="2">
        <f t="shared" si="57"/>
        <v>12.440404157043879</v>
      </c>
      <c r="BC77" s="2">
        <f t="shared" si="58"/>
        <v>83.512332563510483</v>
      </c>
      <c r="BD77" s="2">
        <f t="shared" si="59"/>
        <v>603.15320950060914</v>
      </c>
      <c r="BE77" s="2">
        <f t="shared" si="60"/>
        <v>487.40588002436061</v>
      </c>
      <c r="BF77" s="2">
        <f t="shared" si="61"/>
        <v>13.063139464068209</v>
      </c>
      <c r="BG77" s="2">
        <f t="shared" si="62"/>
        <v>102.68419001218031</v>
      </c>
      <c r="BH77" s="2">
        <f t="shared" si="63"/>
        <v>463.33165704387989</v>
      </c>
      <c r="BI77" s="2">
        <f t="shared" si="64"/>
        <v>16.364607390300229</v>
      </c>
      <c r="BJ77" s="2">
        <f t="shared" si="65"/>
        <v>16.435334872979215</v>
      </c>
      <c r="BK77" s="2">
        <f t="shared" si="66"/>
        <v>27.422448036951597</v>
      </c>
      <c r="BL77" s="2">
        <f t="shared" si="42"/>
        <v>537.80142509135214</v>
      </c>
      <c r="BM77" s="20">
        <f t="shared" si="67"/>
        <v>17.253197320341048</v>
      </c>
      <c r="BN77" s="20">
        <f t="shared" si="68"/>
        <v>17.647381242387336</v>
      </c>
      <c r="BO77" s="2">
        <f t="shared" si="69"/>
        <v>30.451205846528612</v>
      </c>
      <c r="BP77" s="18">
        <f t="shared" si="70"/>
        <v>0.8167281158319678</v>
      </c>
      <c r="BQ77" s="18">
        <f t="shared" si="71"/>
        <v>0.80809630512936592</v>
      </c>
      <c r="BR77" s="18">
        <f t="shared" si="72"/>
        <v>3.125676799427822E-2</v>
      </c>
      <c r="BS77" s="18">
        <f t="shared" si="73"/>
        <v>2.8604999606362244E-2</v>
      </c>
      <c r="BT77" s="29">
        <f>BD77/Kool!BJ77</f>
        <v>1.1800208045572511</v>
      </c>
      <c r="BU77" s="27">
        <v>17.5</v>
      </c>
      <c r="BV77" s="27">
        <v>16.309999999999999</v>
      </c>
      <c r="BW77" s="27">
        <f t="shared" si="74"/>
        <v>17.32</v>
      </c>
      <c r="BX77" s="27">
        <f t="shared" si="75"/>
        <v>17.104166666666664</v>
      </c>
      <c r="BY77" s="2">
        <v>1705.746427589997</v>
      </c>
      <c r="BZ77" s="2">
        <v>1680.171643371453</v>
      </c>
      <c r="CA77" s="2">
        <f>VLOOKUP(A77,'[1]kaugused autoga'!$A$3:$B$82,2,FALSE)</f>
        <v>2164.6999999999998</v>
      </c>
      <c r="CB77" s="29">
        <v>1.69</v>
      </c>
      <c r="CC77">
        <v>5874</v>
      </c>
      <c r="CD77" s="18">
        <v>0.98517868501470929</v>
      </c>
      <c r="CE77" t="s">
        <v>234</v>
      </c>
      <c r="CG77" s="27">
        <f t="shared" si="76"/>
        <v>17.104166666666664</v>
      </c>
      <c r="CH77" s="2">
        <f t="shared" si="77"/>
        <v>1680.171643371453</v>
      </c>
      <c r="CI77" s="56">
        <f t="shared" si="78"/>
        <v>0.98517868501470929</v>
      </c>
    </row>
    <row r="78" spans="1:87" ht="14.25" customHeight="1" x14ac:dyDescent="0.35">
      <c r="A78" t="s">
        <v>163</v>
      </c>
      <c r="B78" s="10" t="s">
        <v>82</v>
      </c>
      <c r="C78" s="11">
        <v>34465.03</v>
      </c>
      <c r="D78" s="13"/>
      <c r="E78" s="11">
        <v>264470.88</v>
      </c>
      <c r="F78" s="11">
        <v>87423.060000000012</v>
      </c>
      <c r="G78" s="11"/>
      <c r="H78" s="11">
        <v>926106.25</v>
      </c>
      <c r="I78" s="11">
        <v>28433.07</v>
      </c>
      <c r="J78" s="11">
        <f>Kool!AY78</f>
        <v>0</v>
      </c>
      <c r="K78" s="12">
        <f t="shared" si="45"/>
        <v>1166052.1700000002</v>
      </c>
      <c r="L78" s="11">
        <v>32256.31</v>
      </c>
      <c r="M78" s="13"/>
      <c r="N78" s="11">
        <v>229911.83</v>
      </c>
      <c r="O78" s="11">
        <v>75867.28</v>
      </c>
      <c r="P78" s="11"/>
      <c r="Q78" s="11">
        <v>936931.66000000015</v>
      </c>
      <c r="R78" s="11">
        <v>31319</v>
      </c>
      <c r="S78" s="11">
        <f>Kool!AZ78</f>
        <v>0</v>
      </c>
      <c r="T78" s="12">
        <f t="shared" si="46"/>
        <v>1154551.5200000003</v>
      </c>
      <c r="U78" s="11">
        <v>185346.56</v>
      </c>
      <c r="V78" s="11">
        <v>67275</v>
      </c>
      <c r="W78" s="11">
        <v>53467.5</v>
      </c>
      <c r="X78" s="11"/>
      <c r="Y78" s="11">
        <v>48216.539999999994</v>
      </c>
      <c r="Z78" s="11">
        <v>39185</v>
      </c>
      <c r="AA78" s="11">
        <v>169328.47</v>
      </c>
      <c r="AB78" s="11">
        <v>70880</v>
      </c>
      <c r="AC78" s="11">
        <v>49650.6</v>
      </c>
      <c r="AD78" s="11"/>
      <c r="AE78" s="11">
        <v>32508.82</v>
      </c>
      <c r="AF78" s="11">
        <v>41156</v>
      </c>
      <c r="AG78" s="33">
        <v>114</v>
      </c>
      <c r="AH78" s="33">
        <v>44</v>
      </c>
      <c r="AI78" s="2">
        <f t="shared" si="47"/>
        <v>158</v>
      </c>
      <c r="AJ78" s="18">
        <f t="shared" si="48"/>
        <v>0.27848101265822783</v>
      </c>
      <c r="AK78" s="33">
        <v>127</v>
      </c>
      <c r="AL78" s="33">
        <v>42</v>
      </c>
      <c r="AM78" s="2">
        <f t="shared" si="49"/>
        <v>169</v>
      </c>
      <c r="AN78" s="18">
        <f t="shared" si="50"/>
        <v>0.24852071005917159</v>
      </c>
      <c r="AO78" s="2">
        <v>126</v>
      </c>
      <c r="AP78" s="2">
        <v>37</v>
      </c>
      <c r="AQ78" s="2">
        <f t="shared" si="51"/>
        <v>163</v>
      </c>
      <c r="AR78" s="18">
        <f t="shared" si="52"/>
        <v>0.22699386503067484</v>
      </c>
      <c r="AS78" s="34">
        <f t="shared" si="43"/>
        <v>161.66666666666666</v>
      </c>
      <c r="AT78" s="34">
        <f t="shared" si="44"/>
        <v>167</v>
      </c>
      <c r="AU78" s="34">
        <v>9</v>
      </c>
      <c r="AV78" s="34">
        <v>10</v>
      </c>
      <c r="AW78" s="34">
        <v>10</v>
      </c>
      <c r="AX78" s="34">
        <f t="shared" si="53"/>
        <v>9.3333333333333339</v>
      </c>
      <c r="AY78" s="34">
        <f t="shared" si="54"/>
        <v>10</v>
      </c>
      <c r="AZ78" s="2">
        <f t="shared" si="55"/>
        <v>601.05781958762896</v>
      </c>
      <c r="BA78" s="2">
        <f t="shared" si="56"/>
        <v>477.37435567010311</v>
      </c>
      <c r="BB78" s="2">
        <f t="shared" si="57"/>
        <v>14.656221649484536</v>
      </c>
      <c r="BC78" s="2">
        <f t="shared" si="58"/>
        <v>109.02724226804131</v>
      </c>
      <c r="BD78" s="2">
        <f t="shared" si="59"/>
        <v>576.12351297405201</v>
      </c>
      <c r="BE78" s="2">
        <f t="shared" si="60"/>
        <v>467.53076846307391</v>
      </c>
      <c r="BF78" s="2">
        <f t="shared" si="61"/>
        <v>15.628243512974052</v>
      </c>
      <c r="BG78" s="2">
        <f t="shared" si="62"/>
        <v>92.964500998004041</v>
      </c>
      <c r="BH78" s="2">
        <f t="shared" si="63"/>
        <v>485.31990206185577</v>
      </c>
      <c r="BI78" s="2">
        <f t="shared" si="64"/>
        <v>62.238402061855673</v>
      </c>
      <c r="BJ78" s="2">
        <f t="shared" si="65"/>
        <v>24.853886597938143</v>
      </c>
      <c r="BK78" s="2">
        <f t="shared" si="66"/>
        <v>28.645628865979369</v>
      </c>
      <c r="BL78" s="2">
        <f t="shared" si="42"/>
        <v>471.09134231536945</v>
      </c>
      <c r="BM78" s="20">
        <f t="shared" si="67"/>
        <v>60.145009980039923</v>
      </c>
      <c r="BN78" s="20">
        <f t="shared" si="68"/>
        <v>16.221966067864269</v>
      </c>
      <c r="BO78" s="2">
        <f t="shared" si="69"/>
        <v>28.665194610778368</v>
      </c>
      <c r="BP78" s="18">
        <f t="shared" si="70"/>
        <v>0.79422368383397457</v>
      </c>
      <c r="BQ78" s="18">
        <f t="shared" si="71"/>
        <v>0.81151134771361255</v>
      </c>
      <c r="BR78" s="18">
        <f t="shared" si="72"/>
        <v>0.10354811140225398</v>
      </c>
      <c r="BS78" s="18">
        <f t="shared" si="73"/>
        <v>0.10439603422807843</v>
      </c>
      <c r="BT78" s="29">
        <f>BD78/Kool!BJ78</f>
        <v>0.88833695757869247</v>
      </c>
      <c r="BU78" s="27">
        <v>16.899999999999999</v>
      </c>
      <c r="BV78" s="27">
        <v>16.3</v>
      </c>
      <c r="BW78" s="27">
        <f t="shared" si="74"/>
        <v>17.321428571428569</v>
      </c>
      <c r="BX78" s="27">
        <f t="shared" si="75"/>
        <v>16.7</v>
      </c>
      <c r="BY78" s="2">
        <v>1663.4306018518521</v>
      </c>
      <c r="BZ78" s="2">
        <v>1684.4573148148149</v>
      </c>
      <c r="CA78" s="2">
        <f>VLOOKUP(A78,'[1]kaugused autoga'!$A$3:$B$82,2,FALSE)</f>
        <v>4613.7</v>
      </c>
      <c r="CB78" s="29">
        <v>1.8</v>
      </c>
      <c r="CC78">
        <v>4226</v>
      </c>
      <c r="CD78" s="18">
        <v>0.97837958571475114</v>
      </c>
      <c r="CE78" t="s">
        <v>234</v>
      </c>
      <c r="CG78" s="27">
        <f t="shared" si="76"/>
        <v>16.7</v>
      </c>
      <c r="CH78" s="2">
        <f t="shared" si="77"/>
        <v>1684.4573148148149</v>
      </c>
      <c r="CI78" s="56">
        <f t="shared" si="78"/>
        <v>0.97837958571475114</v>
      </c>
    </row>
    <row r="79" spans="1:87" ht="14.25" customHeight="1" x14ac:dyDescent="0.35">
      <c r="A79" t="s">
        <v>112</v>
      </c>
      <c r="B79" s="10" t="s">
        <v>83</v>
      </c>
      <c r="C79" s="11">
        <v>33510.699999999997</v>
      </c>
      <c r="D79" s="11">
        <v>3413.94</v>
      </c>
      <c r="E79" s="11">
        <v>251472.14999999991</v>
      </c>
      <c r="F79" s="11">
        <v>90858.68</v>
      </c>
      <c r="G79" s="11"/>
      <c r="H79" s="11">
        <v>880175.32</v>
      </c>
      <c r="I79" s="11">
        <v>18979</v>
      </c>
      <c r="J79" s="11">
        <f>Kool!AY79</f>
        <v>308126.23187499994</v>
      </c>
      <c r="K79" s="12">
        <f t="shared" si="45"/>
        <v>1404818.6618749998</v>
      </c>
      <c r="L79" s="11">
        <v>35041.99</v>
      </c>
      <c r="M79" s="11">
        <v>5489.23</v>
      </c>
      <c r="N79" s="11">
        <v>285350.03999999992</v>
      </c>
      <c r="O79" s="11">
        <v>125675.12</v>
      </c>
      <c r="P79" s="11"/>
      <c r="Q79" s="11">
        <v>927898.07</v>
      </c>
      <c r="R79" s="11">
        <v>16492</v>
      </c>
      <c r="S79" s="11">
        <f>Kool!AZ79</f>
        <v>0</v>
      </c>
      <c r="T79" s="12">
        <f t="shared" si="46"/>
        <v>1144596.21</v>
      </c>
      <c r="U79" s="11">
        <v>226569.88</v>
      </c>
      <c r="V79" s="11">
        <v>66203.17</v>
      </c>
      <c r="W79" s="11">
        <v>50679.91</v>
      </c>
      <c r="X79" s="11"/>
      <c r="Y79" s="11">
        <v>100896</v>
      </c>
      <c r="Z79" s="11">
        <v>50259</v>
      </c>
      <c r="AA79" s="11">
        <v>271007.90000000002</v>
      </c>
      <c r="AB79" s="11">
        <v>71788.240000000005</v>
      </c>
      <c r="AC79" s="11">
        <v>58277.88</v>
      </c>
      <c r="AD79" s="11"/>
      <c r="AE79" s="11">
        <v>132132</v>
      </c>
      <c r="AF79" s="11">
        <v>49272</v>
      </c>
      <c r="AG79" s="33">
        <v>91</v>
      </c>
      <c r="AH79" s="33">
        <v>66</v>
      </c>
      <c r="AI79" s="2">
        <f t="shared" si="47"/>
        <v>157</v>
      </c>
      <c r="AJ79" s="18">
        <f t="shared" si="48"/>
        <v>0.42038216560509556</v>
      </c>
      <c r="AK79" s="33">
        <v>151</v>
      </c>
      <c r="AL79" s="33">
        <v>0</v>
      </c>
      <c r="AM79" s="2">
        <f t="shared" si="49"/>
        <v>151</v>
      </c>
      <c r="AN79" s="18">
        <f t="shared" si="50"/>
        <v>0</v>
      </c>
      <c r="AO79" s="2">
        <v>150</v>
      </c>
      <c r="AP79" s="2">
        <v>0</v>
      </c>
      <c r="AQ79" s="2">
        <f t="shared" si="51"/>
        <v>150</v>
      </c>
      <c r="AR79" s="18">
        <f t="shared" si="52"/>
        <v>0</v>
      </c>
      <c r="AS79" s="34">
        <f t="shared" si="43"/>
        <v>155</v>
      </c>
      <c r="AT79" s="34">
        <f t="shared" si="44"/>
        <v>150.66666666666669</v>
      </c>
      <c r="AU79" s="34">
        <v>11</v>
      </c>
      <c r="AV79" s="34">
        <v>11</v>
      </c>
      <c r="AW79" s="34">
        <v>10</v>
      </c>
      <c r="AX79" s="34">
        <f t="shared" si="53"/>
        <v>11</v>
      </c>
      <c r="AY79" s="34">
        <f t="shared" si="54"/>
        <v>10.666666666666666</v>
      </c>
      <c r="AZ79" s="2">
        <f t="shared" si="55"/>
        <v>755.27885047042992</v>
      </c>
      <c r="BA79" s="2">
        <f t="shared" si="56"/>
        <v>473.21253763440859</v>
      </c>
      <c r="BB79" s="2">
        <f t="shared" si="57"/>
        <v>10.203763440860214</v>
      </c>
      <c r="BC79" s="2">
        <f t="shared" si="58"/>
        <v>271.86254939516112</v>
      </c>
      <c r="BD79" s="2">
        <f t="shared" si="59"/>
        <v>633.07312499999989</v>
      </c>
      <c r="BE79" s="2">
        <f t="shared" si="60"/>
        <v>513.21795907079638</v>
      </c>
      <c r="BF79" s="2">
        <f t="shared" si="61"/>
        <v>9.1216814159292028</v>
      </c>
      <c r="BG79" s="2">
        <f t="shared" si="62"/>
        <v>110.73348451327431</v>
      </c>
      <c r="BH79" s="2">
        <f t="shared" si="63"/>
        <v>606.44611928763436</v>
      </c>
      <c r="BI79" s="2">
        <f t="shared" si="64"/>
        <v>62.840365591397848</v>
      </c>
      <c r="BJ79" s="2">
        <f t="shared" si="65"/>
        <v>54.245161290322585</v>
      </c>
      <c r="BK79" s="2">
        <f t="shared" si="66"/>
        <v>31.747204301075129</v>
      </c>
      <c r="BL79" s="2">
        <f t="shared" si="42"/>
        <v>455.9271626106194</v>
      </c>
      <c r="BM79" s="20">
        <f t="shared" si="67"/>
        <v>71.939225663716812</v>
      </c>
      <c r="BN79" s="20">
        <f t="shared" si="68"/>
        <v>73.081858407079636</v>
      </c>
      <c r="BO79" s="2">
        <f t="shared" si="69"/>
        <v>32.124878318584038</v>
      </c>
      <c r="BP79" s="18">
        <f t="shared" si="70"/>
        <v>0.62654016770053256</v>
      </c>
      <c r="BQ79" s="18">
        <f t="shared" si="71"/>
        <v>0.81067721690254424</v>
      </c>
      <c r="BR79" s="18">
        <f t="shared" si="72"/>
        <v>8.3201542784174812E-2</v>
      </c>
      <c r="BS79" s="18">
        <f t="shared" si="73"/>
        <v>0.11363493856056016</v>
      </c>
      <c r="BT79" s="29">
        <f>BD79/Kool!BJ79</f>
        <v>0.90520616913910079</v>
      </c>
      <c r="BU79" s="27">
        <v>13.73</v>
      </c>
      <c r="BV79" s="27">
        <v>15</v>
      </c>
      <c r="BW79" s="27">
        <f t="shared" si="74"/>
        <v>14.090909090909092</v>
      </c>
      <c r="BX79" s="27">
        <f t="shared" si="75"/>
        <v>14.125000000000002</v>
      </c>
      <c r="BY79" s="2">
        <v>1818.518614718615</v>
      </c>
      <c r="BZ79" s="2">
        <v>1671.0768617021281</v>
      </c>
      <c r="CA79" s="2">
        <f>VLOOKUP(A79,'[1]kaugused autoga'!$A$3:$B$82,2,FALSE)</f>
        <v>4566.6000000000004</v>
      </c>
      <c r="CB79" s="29">
        <v>2.0099999999999998</v>
      </c>
      <c r="CC79">
        <v>5001</v>
      </c>
      <c r="CD79" s="18">
        <v>1.003728699174409</v>
      </c>
      <c r="CE79" t="s">
        <v>234</v>
      </c>
      <c r="CG79" s="27">
        <f t="shared" si="76"/>
        <v>14.125000000000002</v>
      </c>
      <c r="CH79" s="2">
        <f t="shared" si="77"/>
        <v>1671.0768617021281</v>
      </c>
      <c r="CI79" s="56">
        <f t="shared" si="78"/>
        <v>1.003728699174409</v>
      </c>
    </row>
    <row r="80" spans="1:87" ht="14.25" customHeight="1" x14ac:dyDescent="0.35">
      <c r="A80" t="s">
        <v>90</v>
      </c>
      <c r="B80" s="10" t="s">
        <v>84</v>
      </c>
      <c r="C80" s="11">
        <v>120046.99</v>
      </c>
      <c r="D80" s="11">
        <v>5651.01</v>
      </c>
      <c r="E80" s="11">
        <v>849843.60999999975</v>
      </c>
      <c r="F80" s="11">
        <v>287481.05</v>
      </c>
      <c r="G80" s="11">
        <v>6.51</v>
      </c>
      <c r="H80" s="11">
        <v>3907828.9500000011</v>
      </c>
      <c r="I80" s="11">
        <v>199401.77</v>
      </c>
      <c r="J80" s="11">
        <f>Kool!AY80</f>
        <v>0</v>
      </c>
      <c r="K80" s="12">
        <f t="shared" si="45"/>
        <v>4795291.28</v>
      </c>
      <c r="L80" s="11">
        <v>125733.47</v>
      </c>
      <c r="M80" s="11">
        <v>415.2</v>
      </c>
      <c r="N80" s="11">
        <v>847946.14</v>
      </c>
      <c r="O80" s="11">
        <v>251252.12</v>
      </c>
      <c r="P80" s="11">
        <v>543.11</v>
      </c>
      <c r="Q80" s="11">
        <v>3976330.6400000011</v>
      </c>
      <c r="R80" s="11">
        <v>327478.45</v>
      </c>
      <c r="S80" s="11">
        <f>Kool!AZ80</f>
        <v>0</v>
      </c>
      <c r="T80" s="12">
        <f t="shared" si="46"/>
        <v>5026651.7800000012</v>
      </c>
      <c r="U80" s="11">
        <v>1004430.01</v>
      </c>
      <c r="V80" s="11">
        <v>272818.84999999998</v>
      </c>
      <c r="W80" s="11">
        <v>242085.89</v>
      </c>
      <c r="X80" s="11"/>
      <c r="Y80" s="11">
        <v>420655.25</v>
      </c>
      <c r="Z80" s="11">
        <v>294862</v>
      </c>
      <c r="AA80" s="11">
        <v>988470.01</v>
      </c>
      <c r="AB80" s="11">
        <v>257856</v>
      </c>
      <c r="AC80" s="11">
        <v>238460.16</v>
      </c>
      <c r="AD80" s="11"/>
      <c r="AE80" s="11">
        <v>408138.12</v>
      </c>
      <c r="AF80" s="11">
        <v>293955</v>
      </c>
      <c r="AG80" s="33">
        <v>717</v>
      </c>
      <c r="AH80" s="33">
        <v>0</v>
      </c>
      <c r="AI80" s="2">
        <f t="shared" si="47"/>
        <v>717</v>
      </c>
      <c r="AJ80" s="18">
        <f t="shared" si="48"/>
        <v>0</v>
      </c>
      <c r="AK80" s="33">
        <v>699</v>
      </c>
      <c r="AL80" s="33">
        <v>0</v>
      </c>
      <c r="AM80" s="2">
        <f t="shared" si="49"/>
        <v>699</v>
      </c>
      <c r="AN80" s="18">
        <f t="shared" si="50"/>
        <v>0</v>
      </c>
      <c r="AO80" s="2">
        <v>662</v>
      </c>
      <c r="AP80" s="2">
        <v>0</v>
      </c>
      <c r="AQ80" s="2">
        <f t="shared" si="51"/>
        <v>662</v>
      </c>
      <c r="AR80" s="18">
        <f t="shared" si="52"/>
        <v>0</v>
      </c>
      <c r="AS80" s="34">
        <f t="shared" si="43"/>
        <v>711</v>
      </c>
      <c r="AT80" s="34">
        <f t="shared" si="44"/>
        <v>686.66666666666663</v>
      </c>
      <c r="AU80" s="34">
        <v>39</v>
      </c>
      <c r="AV80" s="34">
        <v>39</v>
      </c>
      <c r="AW80" s="34">
        <v>39</v>
      </c>
      <c r="AX80" s="34">
        <f t="shared" si="53"/>
        <v>39</v>
      </c>
      <c r="AY80" s="34">
        <f t="shared" si="54"/>
        <v>39</v>
      </c>
      <c r="AZ80" s="2">
        <f t="shared" si="55"/>
        <v>562.03601500234413</v>
      </c>
      <c r="BA80" s="2">
        <f t="shared" si="56"/>
        <v>458.02027074542912</v>
      </c>
      <c r="BB80" s="2">
        <f t="shared" si="57"/>
        <v>23.371809657759027</v>
      </c>
      <c r="BC80" s="2">
        <f t="shared" si="58"/>
        <v>80.643934599155983</v>
      </c>
      <c r="BD80" s="2">
        <f t="shared" si="59"/>
        <v>610.03055582524291</v>
      </c>
      <c r="BE80" s="2">
        <f t="shared" si="60"/>
        <v>482.56439805825261</v>
      </c>
      <c r="BF80" s="2">
        <f t="shared" si="61"/>
        <v>39.808441747572822</v>
      </c>
      <c r="BG80" s="2">
        <f t="shared" si="62"/>
        <v>87.657716019417478</v>
      </c>
      <c r="BH80" s="2">
        <f t="shared" si="63"/>
        <v>409.75143811533059</v>
      </c>
      <c r="BI80" s="2">
        <f t="shared" si="64"/>
        <v>60.349828879512422</v>
      </c>
      <c r="BJ80" s="2">
        <f t="shared" si="65"/>
        <v>49.30324074074074</v>
      </c>
      <c r="BK80" s="2">
        <f t="shared" si="66"/>
        <v>42.631507266760387</v>
      </c>
      <c r="BL80" s="2">
        <f t="shared" si="42"/>
        <v>454.39645266990311</v>
      </c>
      <c r="BM80" s="20">
        <f t="shared" si="67"/>
        <v>60.232543689320401</v>
      </c>
      <c r="BN80" s="20">
        <f t="shared" si="68"/>
        <v>49.531325242718452</v>
      </c>
      <c r="BO80" s="2">
        <f t="shared" si="69"/>
        <v>45.87023422330094</v>
      </c>
      <c r="BP80" s="18">
        <f t="shared" si="70"/>
        <v>0.81493046445345463</v>
      </c>
      <c r="BQ80" s="18">
        <f t="shared" si="71"/>
        <v>0.79104955227274565</v>
      </c>
      <c r="BR80" s="18">
        <f t="shared" si="72"/>
        <v>0.1073771560337832</v>
      </c>
      <c r="BS80" s="18">
        <f t="shared" si="73"/>
        <v>9.873692901798739E-2</v>
      </c>
      <c r="BT80" s="29">
        <f>BD80/Kool!BJ80</f>
        <v>1.4385119645654314</v>
      </c>
      <c r="BU80" s="27">
        <v>18.22</v>
      </c>
      <c r="BV80" s="27">
        <v>17.239999999999998</v>
      </c>
      <c r="BW80" s="27">
        <f t="shared" si="74"/>
        <v>18.23076923076923</v>
      </c>
      <c r="BX80" s="27">
        <f t="shared" si="75"/>
        <v>17.606837606837605</v>
      </c>
      <c r="BY80" s="2">
        <v>1688.7564462127141</v>
      </c>
      <c r="BZ80" s="2">
        <v>1729.1008941740411</v>
      </c>
      <c r="CA80" s="2">
        <f>VLOOKUP(A80,'[1]kaugused autoga'!$A$3:$B$82,2,FALSE)</f>
        <v>776.6</v>
      </c>
      <c r="CB80" s="29">
        <v>1</v>
      </c>
      <c r="CC80">
        <v>11358</v>
      </c>
      <c r="CD80" s="18">
        <v>0.98298443195903951</v>
      </c>
      <c r="CE80" t="s">
        <v>234</v>
      </c>
      <c r="CG80" s="27">
        <f t="shared" si="76"/>
        <v>17.606837606837605</v>
      </c>
      <c r="CH80" s="2">
        <f t="shared" si="77"/>
        <v>1729.1008941740411</v>
      </c>
      <c r="CI80" s="56">
        <f t="shared" si="78"/>
        <v>0.98298443195903951</v>
      </c>
    </row>
    <row r="81" spans="1:87" ht="14.25" customHeight="1" x14ac:dyDescent="0.35">
      <c r="A81" t="s">
        <v>89</v>
      </c>
      <c r="B81" s="10" t="s">
        <v>85</v>
      </c>
      <c r="C81" s="11">
        <v>118528.95</v>
      </c>
      <c r="D81" s="11">
        <v>613.5</v>
      </c>
      <c r="E81" s="11">
        <v>1066820.1000000001</v>
      </c>
      <c r="F81" s="11">
        <v>483667.26</v>
      </c>
      <c r="G81" s="11"/>
      <c r="H81" s="11">
        <v>2736891.4</v>
      </c>
      <c r="I81" s="11">
        <v>214993.19</v>
      </c>
      <c r="J81" s="11">
        <f>Kool!AY81</f>
        <v>36033.761631139954</v>
      </c>
      <c r="K81" s="12">
        <f t="shared" si="45"/>
        <v>3690213.6416311399</v>
      </c>
      <c r="L81" s="11">
        <v>118115.24</v>
      </c>
      <c r="M81" s="11">
        <v>3294.95</v>
      </c>
      <c r="N81" s="11">
        <v>1055252.05</v>
      </c>
      <c r="O81" s="11">
        <v>503003.45</v>
      </c>
      <c r="P81" s="11"/>
      <c r="Q81" s="11">
        <v>2885654.9</v>
      </c>
      <c r="R81" s="11">
        <v>292199.7</v>
      </c>
      <c r="S81" s="11">
        <f>Kool!AZ81</f>
        <v>31819.459057464268</v>
      </c>
      <c r="T81" s="12">
        <f t="shared" si="46"/>
        <v>3883332.8490574644</v>
      </c>
      <c r="U81" s="11">
        <v>681382.8899999999</v>
      </c>
      <c r="V81" s="38">
        <v>78186.19</v>
      </c>
      <c r="W81" s="11">
        <v>133014.85</v>
      </c>
      <c r="X81" s="11"/>
      <c r="Y81" s="11">
        <v>428233.92</v>
      </c>
      <c r="Z81" s="11">
        <v>167658</v>
      </c>
      <c r="AA81" s="11">
        <v>686300.40000000014</v>
      </c>
      <c r="AB81" s="38">
        <v>77414.12</v>
      </c>
      <c r="AC81" s="11">
        <v>142898.65</v>
      </c>
      <c r="AD81" s="11"/>
      <c r="AE81" s="11">
        <v>410672</v>
      </c>
      <c r="AF81" s="11">
        <v>170352</v>
      </c>
      <c r="AG81" s="33">
        <v>482</v>
      </c>
      <c r="AH81" s="33">
        <v>6</v>
      </c>
      <c r="AI81" s="2">
        <f t="shared" si="47"/>
        <v>488</v>
      </c>
      <c r="AJ81" s="18">
        <f t="shared" si="48"/>
        <v>1.2295081967213115E-2</v>
      </c>
      <c r="AK81" s="33">
        <v>482</v>
      </c>
      <c r="AL81" s="33">
        <v>4</v>
      </c>
      <c r="AM81" s="2">
        <f t="shared" si="49"/>
        <v>486</v>
      </c>
      <c r="AN81" s="18">
        <f t="shared" si="50"/>
        <v>8.23045267489712E-3</v>
      </c>
      <c r="AO81" s="2">
        <v>465</v>
      </c>
      <c r="AP81" s="2">
        <v>6</v>
      </c>
      <c r="AQ81" s="2">
        <f t="shared" si="51"/>
        <v>471</v>
      </c>
      <c r="AR81" s="18">
        <f t="shared" si="52"/>
        <v>1.2738853503184714E-2</v>
      </c>
      <c r="AS81" s="34">
        <f t="shared" si="43"/>
        <v>487.33333333333331</v>
      </c>
      <c r="AT81" s="34">
        <f t="shared" si="44"/>
        <v>481</v>
      </c>
      <c r="AU81" s="34">
        <v>27</v>
      </c>
      <c r="AV81" s="34">
        <v>28</v>
      </c>
      <c r="AW81" s="34">
        <v>28</v>
      </c>
      <c r="AX81" s="34">
        <f t="shared" si="53"/>
        <v>27.333333333333336</v>
      </c>
      <c r="AY81" s="34">
        <f t="shared" si="54"/>
        <v>28</v>
      </c>
      <c r="AZ81" s="2">
        <f t="shared" si="55"/>
        <v>631.02148454704854</v>
      </c>
      <c r="BA81" s="2">
        <f t="shared" si="56"/>
        <v>468.00468536251714</v>
      </c>
      <c r="BB81" s="2">
        <f t="shared" si="57"/>
        <v>36.763541381668951</v>
      </c>
      <c r="BC81" s="2">
        <f t="shared" si="58"/>
        <v>126.25325780286246</v>
      </c>
      <c r="BD81" s="2">
        <f t="shared" si="59"/>
        <v>672.78808888729452</v>
      </c>
      <c r="BE81" s="2">
        <f t="shared" si="60"/>
        <v>499.94021136521133</v>
      </c>
      <c r="BF81" s="2">
        <f t="shared" si="61"/>
        <v>50.623648648648647</v>
      </c>
      <c r="BG81" s="2">
        <f t="shared" si="62"/>
        <v>122.22422887343455</v>
      </c>
      <c r="BH81" s="2">
        <f t="shared" si="63"/>
        <v>485.83665383569422</v>
      </c>
      <c r="BI81" s="2">
        <f t="shared" si="64"/>
        <v>36.115088919288645</v>
      </c>
      <c r="BJ81" s="2">
        <f t="shared" si="65"/>
        <v>73.227414500683992</v>
      </c>
      <c r="BK81" s="2">
        <f t="shared" si="66"/>
        <v>35.842327291381693</v>
      </c>
      <c r="BL81" s="2">
        <f t="shared" si="42"/>
        <v>524.37291217211794</v>
      </c>
      <c r="BM81" s="20">
        <f t="shared" si="67"/>
        <v>38.169225571725569</v>
      </c>
      <c r="BN81" s="20">
        <f t="shared" si="68"/>
        <v>71.148995148995155</v>
      </c>
      <c r="BO81" s="2">
        <f t="shared" si="69"/>
        <v>39.096955994455854</v>
      </c>
      <c r="BP81" s="18">
        <f t="shared" si="70"/>
        <v>0.74166204610046527</v>
      </c>
      <c r="BQ81" s="18">
        <f t="shared" si="71"/>
        <v>0.7430871913800503</v>
      </c>
      <c r="BR81" s="18">
        <f t="shared" si="72"/>
        <v>5.7232740570176147E-2</v>
      </c>
      <c r="BS81" s="18">
        <f t="shared" si="73"/>
        <v>5.6732909220870105E-2</v>
      </c>
      <c r="BT81" s="29">
        <f>BD81/Kool!BJ81</f>
        <v>1.184059506154626</v>
      </c>
      <c r="BU81" s="27">
        <v>17.850000000000001</v>
      </c>
      <c r="BV81" s="27">
        <v>17.27</v>
      </c>
      <c r="BW81" s="27">
        <f t="shared" si="74"/>
        <v>17.829268292682926</v>
      </c>
      <c r="BX81" s="27">
        <f t="shared" si="75"/>
        <v>17.178571428571427</v>
      </c>
      <c r="BY81" s="2">
        <v>1661.782565692353</v>
      </c>
      <c r="BZ81" s="2">
        <v>1674.439848265896</v>
      </c>
      <c r="CA81" s="2">
        <f>VLOOKUP(A81,'[1]kaugused autoga'!$A$3:$B$82,2,FALSE)</f>
        <v>4006.3</v>
      </c>
      <c r="CB81" s="29">
        <v>1.77</v>
      </c>
      <c r="CC81">
        <v>10696</v>
      </c>
      <c r="CD81" s="18">
        <v>0.98572675602045612</v>
      </c>
      <c r="CE81" t="s">
        <v>234</v>
      </c>
      <c r="CG81" s="27">
        <f t="shared" si="76"/>
        <v>17.178571428571427</v>
      </c>
      <c r="CH81" s="2">
        <f t="shared" si="77"/>
        <v>1674.439848265896</v>
      </c>
      <c r="CI81" s="56">
        <f t="shared" si="78"/>
        <v>0.98572675602045612</v>
      </c>
    </row>
    <row r="82" spans="1:87" ht="14.25" customHeight="1" x14ac:dyDescent="0.35">
      <c r="A82" t="s">
        <v>107</v>
      </c>
      <c r="B82" s="10" t="s">
        <v>86</v>
      </c>
      <c r="C82" s="11">
        <v>16036.52</v>
      </c>
      <c r="D82" s="11">
        <v>174.45</v>
      </c>
      <c r="E82" s="11">
        <v>184754.52</v>
      </c>
      <c r="F82" s="11">
        <v>94287</v>
      </c>
      <c r="G82" s="11">
        <v>0</v>
      </c>
      <c r="H82" s="11">
        <v>578479.27000000014</v>
      </c>
      <c r="I82" s="11">
        <v>29442.7</v>
      </c>
      <c r="J82" s="11">
        <f>Kool!AY82</f>
        <v>232445.78854961833</v>
      </c>
      <c r="K82" s="12">
        <f t="shared" si="45"/>
        <v>947046.24854961841</v>
      </c>
      <c r="L82" s="11">
        <v>20542.64</v>
      </c>
      <c r="M82" s="11">
        <v>213.05</v>
      </c>
      <c r="N82" s="11">
        <v>221246.55</v>
      </c>
      <c r="O82" s="11">
        <v>97246.76999999999</v>
      </c>
      <c r="P82" s="11">
        <v>242.34</v>
      </c>
      <c r="Q82" s="11">
        <v>624893.1100000001</v>
      </c>
      <c r="R82" s="11">
        <v>23777.46</v>
      </c>
      <c r="S82" s="11">
        <f>Kool!AZ82</f>
        <v>0</v>
      </c>
      <c r="T82" s="12">
        <f t="shared" si="46"/>
        <v>793426.04</v>
      </c>
      <c r="U82" s="11">
        <v>90786.92</v>
      </c>
      <c r="V82" s="11">
        <v>34951.019999999997</v>
      </c>
      <c r="W82" s="11">
        <v>15726.01</v>
      </c>
      <c r="X82" s="11"/>
      <c r="Y82" s="11">
        <v>22209</v>
      </c>
      <c r="Z82" s="11">
        <v>17697</v>
      </c>
      <c r="AA82" s="11">
        <v>96322.58</v>
      </c>
      <c r="AB82" s="11">
        <v>34819.040000000001</v>
      </c>
      <c r="AC82" s="11">
        <v>14163.1</v>
      </c>
      <c r="AD82" s="11"/>
      <c r="AE82" s="11">
        <v>28200</v>
      </c>
      <c r="AF82" s="11">
        <v>16936</v>
      </c>
      <c r="AG82" s="33">
        <v>65</v>
      </c>
      <c r="AH82" s="33">
        <v>51</v>
      </c>
      <c r="AI82" s="2">
        <f t="shared" si="47"/>
        <v>116</v>
      </c>
      <c r="AJ82" s="18">
        <f t="shared" si="48"/>
        <v>0.43965517241379309</v>
      </c>
      <c r="AK82" s="33">
        <v>103</v>
      </c>
      <c r="AL82" s="33">
        <v>0</v>
      </c>
      <c r="AM82" s="2">
        <f t="shared" si="49"/>
        <v>103</v>
      </c>
      <c r="AN82" s="18">
        <f t="shared" si="50"/>
        <v>0</v>
      </c>
      <c r="AO82" s="2">
        <v>97</v>
      </c>
      <c r="AP82" s="2">
        <v>0</v>
      </c>
      <c r="AQ82" s="2">
        <f t="shared" si="51"/>
        <v>97</v>
      </c>
      <c r="AR82" s="18">
        <f t="shared" si="52"/>
        <v>0</v>
      </c>
      <c r="AS82" s="34">
        <f t="shared" si="43"/>
        <v>111.66666666666666</v>
      </c>
      <c r="AT82" s="34">
        <f t="shared" si="44"/>
        <v>101</v>
      </c>
      <c r="AU82" s="34">
        <v>7</v>
      </c>
      <c r="AV82" s="34">
        <v>7</v>
      </c>
      <c r="AW82" s="34">
        <v>8</v>
      </c>
      <c r="AX82" s="34">
        <f t="shared" si="53"/>
        <v>7</v>
      </c>
      <c r="AY82" s="34">
        <f t="shared" si="54"/>
        <v>7.3333333333333339</v>
      </c>
      <c r="AZ82" s="2">
        <f t="shared" si="55"/>
        <v>706.75093175344671</v>
      </c>
      <c r="BA82" s="2">
        <f t="shared" si="56"/>
        <v>431.70094776119419</v>
      </c>
      <c r="BB82" s="2">
        <f t="shared" si="57"/>
        <v>21.972164179104482</v>
      </c>
      <c r="BC82" s="2">
        <f t="shared" si="58"/>
        <v>253.07781981314804</v>
      </c>
      <c r="BD82" s="2">
        <f t="shared" si="59"/>
        <v>654.64194719471948</v>
      </c>
      <c r="BE82" s="2">
        <f t="shared" si="60"/>
        <v>515.58837458745882</v>
      </c>
      <c r="BF82" s="2">
        <f t="shared" si="61"/>
        <v>19.818316831683166</v>
      </c>
      <c r="BG82" s="2">
        <f t="shared" si="62"/>
        <v>119.2352557755775</v>
      </c>
      <c r="BH82" s="2">
        <f t="shared" si="63"/>
        <v>625.79278249971526</v>
      </c>
      <c r="BI82" s="2">
        <f t="shared" si="64"/>
        <v>37.818679104477617</v>
      </c>
      <c r="BJ82" s="2">
        <f t="shared" si="65"/>
        <v>16.573880597014927</v>
      </c>
      <c r="BK82" s="2">
        <f t="shared" si="66"/>
        <v>26.565589552238905</v>
      </c>
      <c r="BL82" s="2">
        <f t="shared" si="42"/>
        <v>561.19427392739283</v>
      </c>
      <c r="BM82" s="20">
        <f t="shared" si="67"/>
        <v>40.414306930693066</v>
      </c>
      <c r="BN82" s="20">
        <f t="shared" si="68"/>
        <v>23.267326732673268</v>
      </c>
      <c r="BO82" s="2">
        <f t="shared" si="69"/>
        <v>29.766039603960316</v>
      </c>
      <c r="BP82" s="18">
        <f t="shared" si="70"/>
        <v>0.61082473098428836</v>
      </c>
      <c r="BQ82" s="18">
        <f t="shared" si="71"/>
        <v>0.78758835543133932</v>
      </c>
      <c r="BR82" s="18">
        <f t="shared" si="72"/>
        <v>5.3510617963600841E-2</v>
      </c>
      <c r="BS82" s="18">
        <f t="shared" si="73"/>
        <v>6.1734979104038475E-2</v>
      </c>
      <c r="BT82" s="29">
        <f>BD82/Kool!BJ82</f>
        <v>0.91143586727667647</v>
      </c>
      <c r="BU82" s="27">
        <v>14.71</v>
      </c>
      <c r="BV82" s="27">
        <v>13.33</v>
      </c>
      <c r="BW82" s="27">
        <f t="shared" si="74"/>
        <v>15.952380952380951</v>
      </c>
      <c r="BX82" s="27">
        <f t="shared" si="75"/>
        <v>13.772727272727272</v>
      </c>
      <c r="BY82" s="2">
        <v>1904.562457044673</v>
      </c>
      <c r="BZ82" s="2">
        <v>1812.7133838383841</v>
      </c>
      <c r="CA82" s="2">
        <f>VLOOKUP(A82,'[1]kaugused autoga'!$A$3:$B$82,2,FALSE)</f>
        <v>4575.8</v>
      </c>
      <c r="CB82" s="29">
        <v>2.09</v>
      </c>
      <c r="CC82">
        <v>3092</v>
      </c>
      <c r="CD82" s="18">
        <v>0.99691358844762423</v>
      </c>
      <c r="CE82" t="s">
        <v>234</v>
      </c>
      <c r="CG82" s="27">
        <f t="shared" si="76"/>
        <v>13.772727272727272</v>
      </c>
      <c r="CH82" s="2">
        <f t="shared" si="77"/>
        <v>1812.7133838383841</v>
      </c>
      <c r="CI82" s="56">
        <f t="shared" si="78"/>
        <v>0.99691358844762423</v>
      </c>
    </row>
    <row r="83" spans="1:87" ht="14.25" customHeight="1" x14ac:dyDescent="0.35">
      <c r="A83" s="1" t="s">
        <v>170</v>
      </c>
      <c r="B83" s="15" t="s">
        <v>2</v>
      </c>
      <c r="C83" s="12">
        <f t="shared" ref="C83:AI83" si="79">SUM(C4:C82)</f>
        <v>15288166.540000001</v>
      </c>
      <c r="D83" s="12">
        <f t="shared" si="79"/>
        <v>237106.99000000005</v>
      </c>
      <c r="E83" s="12">
        <f t="shared" si="79"/>
        <v>117045413.10710378</v>
      </c>
      <c r="F83" s="12">
        <f t="shared" si="79"/>
        <v>38315430.04999999</v>
      </c>
      <c r="G83" s="12">
        <f t="shared" si="79"/>
        <v>4503569.9399999995</v>
      </c>
      <c r="H83" s="12">
        <f t="shared" si="79"/>
        <v>377707114.32999998</v>
      </c>
      <c r="I83" s="12">
        <f t="shared" si="79"/>
        <v>19773955.419999994</v>
      </c>
      <c r="J83" s="12">
        <f t="shared" si="79"/>
        <v>2956038.832241206</v>
      </c>
      <c r="K83" s="12">
        <f t="shared" si="79"/>
        <v>494692365.16934508</v>
      </c>
      <c r="L83" s="12">
        <f t="shared" si="79"/>
        <v>16642246.160000002</v>
      </c>
      <c r="M83" s="12">
        <f t="shared" si="79"/>
        <v>1261388.9299999995</v>
      </c>
      <c r="N83" s="12">
        <f t="shared" si="79"/>
        <v>115229816.90717345</v>
      </c>
      <c r="O83" s="12">
        <f t="shared" si="79"/>
        <v>35713885.910000004</v>
      </c>
      <c r="P83" s="12">
        <f t="shared" si="79"/>
        <v>4804973.9799999995</v>
      </c>
      <c r="Q83" s="12">
        <f t="shared" si="79"/>
        <v>383784965.89000005</v>
      </c>
      <c r="R83" s="12">
        <f t="shared" si="79"/>
        <v>21885008.489999998</v>
      </c>
      <c r="S83" s="12">
        <f t="shared" si="79"/>
        <v>1491009.924283071</v>
      </c>
      <c r="T83" s="12">
        <f t="shared" si="79"/>
        <v>504580550.39145654</v>
      </c>
      <c r="U83" s="12">
        <f t="shared" si="79"/>
        <v>78930364.477103785</v>
      </c>
      <c r="V83" s="12">
        <f t="shared" si="79"/>
        <v>37862018.450000003</v>
      </c>
      <c r="W83" s="12">
        <f t="shared" si="79"/>
        <v>14713704.617103789</v>
      </c>
      <c r="X83" s="12">
        <f t="shared" si="79"/>
        <v>303409.39999999997</v>
      </c>
      <c r="Y83" s="12">
        <f t="shared" si="79"/>
        <v>14957508.819999998</v>
      </c>
      <c r="Z83" s="12">
        <f t="shared" si="79"/>
        <v>16000000</v>
      </c>
      <c r="AA83" s="12">
        <f t="shared" si="79"/>
        <v>75450584.587173492</v>
      </c>
      <c r="AB83" s="12">
        <f t="shared" si="79"/>
        <v>37314411.260000013</v>
      </c>
      <c r="AC83" s="12">
        <f t="shared" si="79"/>
        <v>15932770.367173458</v>
      </c>
      <c r="AD83" s="12">
        <f t="shared" si="79"/>
        <v>319817.77</v>
      </c>
      <c r="AE83" s="12">
        <f t="shared" si="79"/>
        <v>14624475.869999997</v>
      </c>
      <c r="AF83" s="12">
        <f t="shared" si="79"/>
        <v>16000000</v>
      </c>
      <c r="AG83" s="12">
        <f t="shared" si="79"/>
        <v>59776</v>
      </c>
      <c r="AH83" s="12">
        <f t="shared" si="79"/>
        <v>5425</v>
      </c>
      <c r="AI83" s="12">
        <f t="shared" si="79"/>
        <v>65201</v>
      </c>
      <c r="AJ83" s="19">
        <f t="shared" si="48"/>
        <v>8.3204245333660526E-2</v>
      </c>
      <c r="AK83" s="12">
        <f>SUM(AK4:AK82)</f>
        <v>58851</v>
      </c>
      <c r="AL83" s="12">
        <f>SUM(AL4:AL82)</f>
        <v>4929</v>
      </c>
      <c r="AM83" s="12">
        <f>SUM(AM4:AM82)</f>
        <v>63780</v>
      </c>
      <c r="AN83" s="19">
        <f t="shared" si="50"/>
        <v>7.7281279397930391E-2</v>
      </c>
      <c r="AO83" s="12">
        <f>SUM(AO4:AO82)</f>
        <v>56291</v>
      </c>
      <c r="AP83" s="12">
        <f>SUM(AP4:AP82)</f>
        <v>4722</v>
      </c>
      <c r="AQ83" s="12">
        <f>SUM(AQ4:AQ82)</f>
        <v>61013</v>
      </c>
      <c r="AR83" s="19">
        <f t="shared" si="52"/>
        <v>7.7393342402438822E-2</v>
      </c>
      <c r="AS83" s="12">
        <f t="shared" ref="AS83:AY83" si="80">SUM(AS4:AS82)</f>
        <v>64727.333333333328</v>
      </c>
      <c r="AT83" s="12">
        <f t="shared" si="80"/>
        <v>62857.666666666672</v>
      </c>
      <c r="AU83" s="12">
        <f t="shared" si="80"/>
        <v>3690</v>
      </c>
      <c r="AV83" s="12">
        <f t="shared" si="80"/>
        <v>3691</v>
      </c>
      <c r="AW83" s="12">
        <f t="shared" si="80"/>
        <v>3693</v>
      </c>
      <c r="AX83" s="12">
        <f t="shared" si="80"/>
        <v>3690.3333333333339</v>
      </c>
      <c r="AY83" s="12">
        <f t="shared" si="80"/>
        <v>3691.666666666667</v>
      </c>
      <c r="AZ83" s="17">
        <f t="shared" si="55"/>
        <v>636.89266405916248</v>
      </c>
      <c r="BA83" s="17">
        <f t="shared" si="56"/>
        <v>486.2797714643994</v>
      </c>
      <c r="BB83" s="17">
        <f t="shared" si="57"/>
        <v>31.256148046677851</v>
      </c>
      <c r="BC83" s="17">
        <f t="shared" si="58"/>
        <v>119.35674454808523</v>
      </c>
      <c r="BD83" s="17">
        <f>T83/AT83/12</f>
        <v>668.94591271212801</v>
      </c>
      <c r="BE83" s="17">
        <f>Q83/AT83/12</f>
        <v>508.80158597731383</v>
      </c>
      <c r="BF83" s="17">
        <f>(R83+P83)/AT83/12</f>
        <v>35.384151588509489</v>
      </c>
      <c r="BG83" s="17">
        <f t="shared" si="62"/>
        <v>124.76017514630468</v>
      </c>
      <c r="BH83" s="17">
        <f t="shared" si="63"/>
        <v>514.67437853694128</v>
      </c>
      <c r="BI83" s="17">
        <f t="shared" si="64"/>
        <v>68.079343691876417</v>
      </c>
      <c r="BJ83" s="17">
        <f t="shared" si="65"/>
        <v>19.257074316877979</v>
      </c>
      <c r="BK83" s="17">
        <f t="shared" si="66"/>
        <v>34.881867513466815</v>
      </c>
      <c r="BL83" s="17">
        <f t="shared" si="42"/>
        <v>547.70561772401538</v>
      </c>
      <c r="BM83" s="21">
        <f t="shared" si="67"/>
        <v>71.01626345920873</v>
      </c>
      <c r="BN83" s="21">
        <f t="shared" si="68"/>
        <v>19.388348106568802</v>
      </c>
      <c r="BO83" s="17">
        <f t="shared" si="69"/>
        <v>30.835683422335091</v>
      </c>
      <c r="BP83" s="19">
        <f t="shared" si="70"/>
        <v>0.76351919076151853</v>
      </c>
      <c r="BQ83" s="19">
        <f t="shared" si="71"/>
        <v>0.76060198038203697</v>
      </c>
      <c r="BR83" s="19">
        <f t="shared" si="72"/>
        <v>0.10689296255664262</v>
      </c>
      <c r="BS83" s="19">
        <f t="shared" si="73"/>
        <v>0.10616144311471358</v>
      </c>
      <c r="BU83" s="31">
        <v>17.73</v>
      </c>
      <c r="BV83" s="31">
        <v>17.02</v>
      </c>
      <c r="BW83" s="31">
        <f t="shared" si="74"/>
        <v>17.539698310902352</v>
      </c>
      <c r="BX83" s="31">
        <f t="shared" si="75"/>
        <v>17.026907449209933</v>
      </c>
      <c r="BY83" s="17">
        <v>1808.9281811686039</v>
      </c>
      <c r="BZ83" s="17">
        <v>1822.6739121396461</v>
      </c>
      <c r="CA83" s="17">
        <v>1498.6</v>
      </c>
      <c r="CD83" s="18"/>
    </row>
    <row r="84" spans="1:87" x14ac:dyDescent="0.35">
      <c r="V84" s="28" t="s">
        <v>261</v>
      </c>
      <c r="W84" s="2">
        <f>(SUM(W45:W82)+SUM(W4:W8)+SUM(W10:W16)+SUM(W18:W39)+SUM(W41:W43))/(SUM(AS45:AS82)+SUM(AS4:AS8)+SUM(AS10:AS16)+SUM(AS18:AS39)+SUM(AS41:AS43))</f>
        <v>227.31825736325388</v>
      </c>
      <c r="AB84" s="28" t="s">
        <v>261</v>
      </c>
      <c r="AC84" s="2">
        <f>(SUM(AC45:AC82)+SUM(AC4:AC8)+SUM(AC10:AC16)+SUM(AC18:AC39)+SUM(AC41:AC43))/(SUM(AT45:AT82)+SUM(AT4:AT8)+SUM(AT10:AT16)+SUM(AT18:AT39)+SUM(AT41:AT43))</f>
        <v>253.00600323236824</v>
      </c>
      <c r="AQ84" s="3"/>
      <c r="AR84" s="18"/>
      <c r="AS84" s="18"/>
      <c r="AT84" s="18"/>
      <c r="AU84" s="18"/>
      <c r="AV84" s="18"/>
      <c r="AW84" s="18"/>
      <c r="AX84" s="18"/>
      <c r="AY84" s="18"/>
      <c r="AZ84" s="18">
        <f>AZ83/$AZ83</f>
        <v>1</v>
      </c>
      <c r="BA84" s="18">
        <f t="shared" ref="BA84:BC84" si="81">BA83/$AZ83</f>
        <v>0.76351919076151853</v>
      </c>
      <c r="BB84" s="18">
        <f t="shared" si="81"/>
        <v>4.9076005754989181E-2</v>
      </c>
      <c r="BC84" s="18">
        <f t="shared" si="81"/>
        <v>0.18740480348349231</v>
      </c>
      <c r="BD84" s="18">
        <f>BD83/$BD83</f>
        <v>1</v>
      </c>
      <c r="BE84" s="18">
        <f t="shared" ref="BE84:BG84" si="82">BE83/$BD83</f>
        <v>0.76060198038203697</v>
      </c>
      <c r="BF84" s="18">
        <f t="shared" si="82"/>
        <v>5.2895384987181451E-2</v>
      </c>
      <c r="BG84" s="18">
        <f t="shared" si="82"/>
        <v>0.18650263463078151</v>
      </c>
      <c r="BH84" s="18">
        <f>BH83/$AZ83</f>
        <v>0.80810222441050439</v>
      </c>
      <c r="BI84" s="18">
        <f t="shared" ref="BI84:BK84" si="83">BI83/$AZ83</f>
        <v>0.10689296255664262</v>
      </c>
      <c r="BJ84" s="18">
        <f t="shared" si="83"/>
        <v>3.0235980728911559E-2</v>
      </c>
      <c r="BK84" s="18">
        <f t="shared" si="83"/>
        <v>5.4768832303941493E-2</v>
      </c>
      <c r="BL84" s="18">
        <f>BL83/$BD83</f>
        <v>0.81875919609619208</v>
      </c>
      <c r="BM84" s="18">
        <f t="shared" ref="BM84:BO84" si="84">BM83/$BD83</f>
        <v>0.10616144311471358</v>
      </c>
      <c r="BN84" s="18">
        <f t="shared" si="84"/>
        <v>2.8983431602058865E-2</v>
      </c>
      <c r="BO84" s="18">
        <f t="shared" si="84"/>
        <v>4.6095929187035513E-2</v>
      </c>
      <c r="BP84" s="18"/>
      <c r="BQ84" s="18"/>
      <c r="BR84" s="18"/>
      <c r="BS84" s="18"/>
      <c r="BU84" s="27"/>
      <c r="BV84" s="27"/>
      <c r="BW84" s="27"/>
      <c r="BX84" s="27"/>
      <c r="BY84" s="27"/>
      <c r="BZ84" s="27"/>
      <c r="CA84" s="2"/>
      <c r="CD84" s="18"/>
    </row>
    <row r="85" spans="1:87" x14ac:dyDescent="0.35">
      <c r="BL85" s="1"/>
      <c r="BP85" s="18"/>
      <c r="BQ85" s="18"/>
      <c r="BR85" s="18"/>
      <c r="BS85" s="18"/>
      <c r="BT85" s="28" t="s">
        <v>267</v>
      </c>
      <c r="BU85" s="29">
        <f>CORREL(BU4:BU82,BD4:BD82)</f>
        <v>-0.57013036528431793</v>
      </c>
      <c r="BV85" s="30">
        <f t="shared" ref="BV85:CD85" si="85">CORREL(BV4:BV82,$BD4:$BD82)</f>
        <v>-0.58906901976090142</v>
      </c>
      <c r="BW85" s="29">
        <f t="shared" si="85"/>
        <v>-0.58068963807125573</v>
      </c>
      <c r="BX85" s="30">
        <f t="shared" si="85"/>
        <v>-0.607185580785781</v>
      </c>
      <c r="BY85" s="29">
        <f t="shared" si="85"/>
        <v>0.48085958841311482</v>
      </c>
      <c r="BZ85" s="29">
        <f t="shared" si="85"/>
        <v>0.47542966903608974</v>
      </c>
      <c r="CA85" s="29">
        <f t="shared" si="85"/>
        <v>0.12010174050419885</v>
      </c>
      <c r="CB85" s="29">
        <f t="shared" si="85"/>
        <v>7.0866401705453774E-2</v>
      </c>
      <c r="CC85" s="29">
        <f t="shared" si="85"/>
        <v>-2.0449216028813329E-2</v>
      </c>
      <c r="CD85" s="30">
        <f t="shared" si="85"/>
        <v>0.55491926880528042</v>
      </c>
      <c r="CG85" s="29">
        <f>CORREL(CG4:CG82,$BD4:$BD82)</f>
        <v>-0.607185580785781</v>
      </c>
      <c r="CH85" s="29">
        <f>CORREL(CH4:CH82,$BD4:$BD82)</f>
        <v>0.47542966903608974</v>
      </c>
      <c r="CI85" s="29">
        <f>CORREL(CI4:CI82,$BD4:$BD82)</f>
        <v>0.55491926880528042</v>
      </c>
    </row>
    <row r="86" spans="1:87" x14ac:dyDescent="0.35">
      <c r="AB86" s="2">
        <f>AA83-AB83-AC83-AD83</f>
        <v>21883585.190000024</v>
      </c>
      <c r="BD86" s="24"/>
      <c r="BL86" s="1"/>
      <c r="BP86" s="18"/>
      <c r="BQ86" s="18"/>
      <c r="BR86" s="18"/>
      <c r="BS86" s="18"/>
      <c r="BT86" s="28" t="s">
        <v>263</v>
      </c>
      <c r="BU86" s="29">
        <f>BU85*BU85</f>
        <v>0.32504863341922979</v>
      </c>
      <c r="BV86" s="30">
        <f t="shared" ref="BV86:CD86" si="86">BV85*BV85</f>
        <v>0.34700231004206927</v>
      </c>
      <c r="BW86" s="29">
        <f t="shared" ref="BW86" si="87">BW85*BW85</f>
        <v>0.33720045576332597</v>
      </c>
      <c r="BX86" s="30">
        <f t="shared" si="86"/>
        <v>0.36867432951416618</v>
      </c>
      <c r="BY86" s="29">
        <f t="shared" ref="BY86" si="88">BY85*BY85</f>
        <v>0.23122594376883018</v>
      </c>
      <c r="BZ86" s="29">
        <f t="shared" ref="BZ86:CA86" si="89">BZ85*BZ85</f>
        <v>0.22603337019976583</v>
      </c>
      <c r="CA86" s="29">
        <f t="shared" si="89"/>
        <v>1.4424428072137918E-2</v>
      </c>
      <c r="CB86" s="29">
        <f t="shared" si="86"/>
        <v>5.0220468906787413E-3</v>
      </c>
      <c r="CC86" s="29">
        <f>CC85*CC85</f>
        <v>4.1817043619307601E-4</v>
      </c>
      <c r="CD86" s="30">
        <f t="shared" si="86"/>
        <v>0.30793539489138705</v>
      </c>
      <c r="CG86" s="29">
        <f t="shared" ref="CG86:CI86" si="90">CG85*CG85</f>
        <v>0.36867432951416618</v>
      </c>
      <c r="CH86" s="29">
        <f t="shared" si="90"/>
        <v>0.22603337019976583</v>
      </c>
      <c r="CI86" s="29">
        <f t="shared" si="90"/>
        <v>0.30793539489138705</v>
      </c>
    </row>
    <row r="87" spans="1:87" x14ac:dyDescent="0.35">
      <c r="A87" s="1"/>
      <c r="BL87" s="1"/>
      <c r="BP87" s="18"/>
      <c r="BQ87" s="18"/>
      <c r="BR87" s="18"/>
      <c r="BS87" s="18"/>
      <c r="BT87" s="28" t="s">
        <v>268</v>
      </c>
      <c r="BU87" s="29">
        <f t="shared" ref="BU87:CD87" si="91">CORREL(BU4:BU82,$BE4:$BE82)</f>
        <v>-0.65247333704789945</v>
      </c>
      <c r="BV87" s="29">
        <f t="shared" si="91"/>
        <v>-0.6810702973006012</v>
      </c>
      <c r="BW87" s="29">
        <f t="shared" si="91"/>
        <v>-0.66791310091485045</v>
      </c>
      <c r="BX87" s="29">
        <f t="shared" si="91"/>
        <v>-0.69547875047263463</v>
      </c>
      <c r="BY87" s="29">
        <f t="shared" si="91"/>
        <v>0.43772274270657097</v>
      </c>
      <c r="BZ87" s="29">
        <f t="shared" si="91"/>
        <v>0.42006007989061839</v>
      </c>
      <c r="CA87" s="29">
        <f t="shared" si="91"/>
        <v>0.14109713524182527</v>
      </c>
      <c r="CB87" s="29">
        <f t="shared" si="91"/>
        <v>8.6573142682912288E-2</v>
      </c>
      <c r="CC87" s="29">
        <f t="shared" si="91"/>
        <v>-5.0113013775501279E-2</v>
      </c>
      <c r="CD87" s="29">
        <f t="shared" si="91"/>
        <v>0.52129945733699334</v>
      </c>
      <c r="CG87" s="29">
        <f>CORREL(CG4:CG82,$BE4:$BE82)</f>
        <v>-0.69547875047263463</v>
      </c>
      <c r="CH87" s="29">
        <f>CORREL(CH4:CH82,$BE4:$BE82)</f>
        <v>0.42006007989061839</v>
      </c>
      <c r="CI87" s="29">
        <f>CORREL(CI4:CI82,$BE4:$BE82)</f>
        <v>0.52129945733699334</v>
      </c>
    </row>
    <row r="88" spans="1:87" x14ac:dyDescent="0.35">
      <c r="BL88" s="1"/>
      <c r="BP88" s="18"/>
      <c r="BQ88" s="18"/>
      <c r="BR88" s="18"/>
      <c r="BS88" s="18"/>
      <c r="BT88" s="28" t="s">
        <v>269</v>
      </c>
      <c r="BU88" s="29">
        <f t="shared" ref="BU88:CD88" si="92">CORREL(BU4:BU82,$BG4:$BG82)</f>
        <v>-0.35434039904931269</v>
      </c>
      <c r="BV88" s="29">
        <f t="shared" si="92"/>
        <v>-0.40673353192122486</v>
      </c>
      <c r="BW88" s="29">
        <f t="shared" si="92"/>
        <v>-0.33509673058359668</v>
      </c>
      <c r="BX88" s="29">
        <f t="shared" si="92"/>
        <v>-0.38761856937645939</v>
      </c>
      <c r="BY88" s="29">
        <f t="shared" si="92"/>
        <v>0.29051261626528513</v>
      </c>
      <c r="BZ88" s="29">
        <f t="shared" si="92"/>
        <v>0.22981803632989722</v>
      </c>
      <c r="CA88" s="29">
        <f t="shared" si="92"/>
        <v>0.16339969527130077</v>
      </c>
      <c r="CB88" s="29">
        <f t="shared" si="92"/>
        <v>0.14823033371333691</v>
      </c>
      <c r="CC88" s="29">
        <f t="shared" si="92"/>
        <v>7.38504853949567E-2</v>
      </c>
      <c r="CD88" s="29">
        <f t="shared" si="92"/>
        <v>0.45906905763594036</v>
      </c>
      <c r="CG88" s="29">
        <f>CORREL(CG4:CG82,$BG4:$BG82)</f>
        <v>-0.38761856937645939</v>
      </c>
      <c r="CH88" s="29">
        <f>CORREL(CH4:CH82,$BG4:$BG82)</f>
        <v>0.22981803632989722</v>
      </c>
      <c r="CI88" s="29">
        <f>CORREL(CI4:CI82,$BG4:$BG82)</f>
        <v>0.45906905763594036</v>
      </c>
    </row>
    <row r="89" spans="1:87" x14ac:dyDescent="0.35">
      <c r="A89" s="1" t="s">
        <v>228</v>
      </c>
      <c r="BL89" s="1"/>
      <c r="BO89" s="28"/>
      <c r="BP89" s="18"/>
      <c r="BQ89" s="18"/>
      <c r="BR89" s="18"/>
      <c r="BS89" s="18"/>
      <c r="BU89" s="29"/>
      <c r="BV89" s="29"/>
      <c r="BW89" s="29"/>
      <c r="BX89" s="29"/>
      <c r="BY89" s="29"/>
      <c r="BZ89" s="29"/>
      <c r="CA89" s="2"/>
      <c r="CB89" s="29"/>
      <c r="CC89" s="29"/>
      <c r="CD89" s="18"/>
    </row>
    <row r="90" spans="1:87" x14ac:dyDescent="0.35">
      <c r="A90" t="s">
        <v>235</v>
      </c>
      <c r="B90" s="2">
        <f>COUNTIF($CB$4:$CB$82,"&lt;=1,25")</f>
        <v>20</v>
      </c>
      <c r="C90" s="2">
        <f t="shared" ref="C90:AI90" si="93">SUMIF($CB$4:$CB$82,"&lt;=1,25",C$4:C$82)</f>
        <v>10213117.609999999</v>
      </c>
      <c r="D90" s="2">
        <f t="shared" si="93"/>
        <v>141216.62</v>
      </c>
      <c r="E90" s="2">
        <f t="shared" si="93"/>
        <v>76332512.171781197</v>
      </c>
      <c r="F90" s="2">
        <f t="shared" si="93"/>
        <v>24246795.420000002</v>
      </c>
      <c r="G90" s="2">
        <f t="shared" si="93"/>
        <v>1977424.1</v>
      </c>
      <c r="H90" s="2">
        <f t="shared" si="93"/>
        <v>244771873.04000002</v>
      </c>
      <c r="I90" s="2">
        <f t="shared" si="93"/>
        <v>12150486.619999999</v>
      </c>
      <c r="J90" s="2">
        <f t="shared" si="93"/>
        <v>424423.21112072392</v>
      </c>
      <c r="K90" s="2">
        <f t="shared" si="93"/>
        <v>319786833.85290194</v>
      </c>
      <c r="L90" s="2">
        <f t="shared" si="93"/>
        <v>10990588.489999998</v>
      </c>
      <c r="M90" s="2">
        <f t="shared" si="93"/>
        <v>1141958.73</v>
      </c>
      <c r="N90" s="2">
        <f t="shared" si="93"/>
        <v>73662328.050013795</v>
      </c>
      <c r="O90" s="2">
        <f t="shared" si="93"/>
        <v>22450849.370000001</v>
      </c>
      <c r="P90" s="2">
        <f t="shared" si="93"/>
        <v>2113086.3999999994</v>
      </c>
      <c r="Q90" s="2">
        <f t="shared" si="93"/>
        <v>244413597.02000001</v>
      </c>
      <c r="R90" s="2">
        <f t="shared" si="93"/>
        <v>13693872.41</v>
      </c>
      <c r="S90" s="2">
        <f t="shared" si="93"/>
        <v>263489.92021189752</v>
      </c>
      <c r="T90" s="2">
        <f t="shared" si="93"/>
        <v>321714985.25022566</v>
      </c>
      <c r="U90" s="2">
        <f t="shared" si="93"/>
        <v>53506478.25178121</v>
      </c>
      <c r="V90" s="2">
        <f t="shared" si="93"/>
        <v>26550541.119999997</v>
      </c>
      <c r="W90" s="2">
        <f t="shared" si="93"/>
        <v>9037376.5317812059</v>
      </c>
      <c r="X90" s="2">
        <f t="shared" si="93"/>
        <v>299051.39999999997</v>
      </c>
      <c r="Y90" s="2">
        <f t="shared" si="93"/>
        <v>8576246.9299999997</v>
      </c>
      <c r="Z90" s="2">
        <f t="shared" si="93"/>
        <v>9617507</v>
      </c>
      <c r="AA90" s="2">
        <f t="shared" si="93"/>
        <v>48169862.050013773</v>
      </c>
      <c r="AB90" s="2">
        <f t="shared" si="93"/>
        <v>24541258.989999998</v>
      </c>
      <c r="AC90" s="2">
        <f t="shared" si="93"/>
        <v>9830578.0200137645</v>
      </c>
      <c r="AD90" s="2">
        <f t="shared" si="93"/>
        <v>319817.77</v>
      </c>
      <c r="AE90" s="2">
        <f t="shared" si="93"/>
        <v>8031713.2799999993</v>
      </c>
      <c r="AF90" s="2">
        <f t="shared" si="93"/>
        <v>9552697</v>
      </c>
      <c r="AG90" s="2">
        <f t="shared" si="93"/>
        <v>41091</v>
      </c>
      <c r="AH90" s="2">
        <f t="shared" si="93"/>
        <v>1210</v>
      </c>
      <c r="AI90" s="2">
        <f t="shared" si="93"/>
        <v>42301</v>
      </c>
      <c r="AJ90" s="18">
        <f t="shared" ref="AJ90:AJ92" si="94">AH90/AI90</f>
        <v>2.8604524715727761E-2</v>
      </c>
      <c r="AK90" s="2">
        <f>SUMIF($CB$4:$CB$82,"&lt;=1,25",AK$4:AK$82)</f>
        <v>39483</v>
      </c>
      <c r="AL90" s="2">
        <f>SUMIF($CB$4:$CB$82,"&lt;=1,25",AL$4:AL$82)</f>
        <v>1129</v>
      </c>
      <c r="AM90" s="2">
        <f>SUMIF($CB$4:$CB$82,"&lt;=1,25",AM$4:AM$82)</f>
        <v>40612</v>
      </c>
      <c r="AN90" s="18">
        <f t="shared" ref="AN90:AN92" si="95">AL90/AM90</f>
        <v>2.7799665123608784E-2</v>
      </c>
      <c r="AO90" s="2">
        <f>SUMIF($CB$4:$CB$82,"&lt;=1,25",AO$4:AO$82)</f>
        <v>37447</v>
      </c>
      <c r="AP90" s="2">
        <f>SUMIF($CB$4:$CB$82,"&lt;=1,25",AP$4:AP$82)</f>
        <v>1136</v>
      </c>
      <c r="AQ90" s="2">
        <f>SUMIF($CB$4:$CB$82,"&lt;=1,25",AQ$4:AQ$82)</f>
        <v>38583</v>
      </c>
      <c r="AR90" s="18">
        <f t="shared" ref="AR90:AR92" si="96">AP90/AQ90</f>
        <v>2.9443018946168003E-2</v>
      </c>
      <c r="AS90" s="2">
        <f t="shared" ref="AS90:AY90" si="97">SUMIF($CB$4:$CB$82,"&lt;=1,25",AS$4:AS$82)</f>
        <v>41737.999999999993</v>
      </c>
      <c r="AT90" s="2">
        <f t="shared" si="97"/>
        <v>39935.666666666664</v>
      </c>
      <c r="AU90" s="2">
        <f t="shared" si="97"/>
        <v>2334</v>
      </c>
      <c r="AV90" s="2">
        <f t="shared" si="97"/>
        <v>2293</v>
      </c>
      <c r="AW90" s="2">
        <f t="shared" si="97"/>
        <v>2278</v>
      </c>
      <c r="AX90" s="2">
        <f t="shared" si="97"/>
        <v>2320.3333333333335</v>
      </c>
      <c r="AY90" s="2">
        <f t="shared" si="97"/>
        <v>2288</v>
      </c>
      <c r="AZ90" s="2">
        <f t="shared" ref="AZ90:AZ92" si="98">K90/AS90/12</f>
        <v>638.48058893754285</v>
      </c>
      <c r="BA90" s="2">
        <f t="shared" ref="BA90:BA92" si="99">H90/AS90/12</f>
        <v>488.70707955979378</v>
      </c>
      <c r="BB90" s="2">
        <f t="shared" ref="BB90:BB92" si="100">(G90+I90)/AS90/12</f>
        <v>28.207530148385967</v>
      </c>
      <c r="BC90" s="2">
        <f t="shared" ref="BC90:BC92" si="101">AZ90-BA90-BB90</f>
        <v>121.56597922936309</v>
      </c>
      <c r="BD90" s="2">
        <f>T90/AT90/12</f>
        <v>671.31925774417539</v>
      </c>
      <c r="BE90" s="2">
        <f>Q90/AT90/12</f>
        <v>510.01526834826018</v>
      </c>
      <c r="BF90" s="2">
        <f>(R90+P90)/AT90/12</f>
        <v>32.984213798025159</v>
      </c>
      <c r="BG90" s="2">
        <f t="shared" ref="BG90:BG92" si="102">BD90-BE90-BF90</f>
        <v>128.31977559789004</v>
      </c>
      <c r="BH90" s="2">
        <f t="shared" ref="BH90:BH92" si="103">(K90-U90-Z90)/AS90/12</f>
        <v>512.4483855661523</v>
      </c>
      <c r="BI90" s="2">
        <f t="shared" ref="BI90:BI92" si="104">(V90+W90+X90)/AS90/12</f>
        <v>71.65127112739232</v>
      </c>
      <c r="BJ90" s="2">
        <f t="shared" ref="BJ90:BJ92" si="105">Y90/AS90/12</f>
        <v>17.123178977590367</v>
      </c>
      <c r="BK90" s="2">
        <f t="shared" ref="BK90:BK92" si="106">AZ90-BH90-BI90-BJ90</f>
        <v>37.25775326640786</v>
      </c>
      <c r="BL90" s="2">
        <f>(T90-AA90-AF90)/AT90/12</f>
        <v>550.87020416213556</v>
      </c>
      <c r="BM90" s="20">
        <f t="shared" ref="BM90:BM92" si="107">(AB90+AC90+AD90)/AT90/12</f>
        <v>72.390709182296874</v>
      </c>
      <c r="BN90" s="20">
        <f t="shared" ref="BN90" si="108">AE90/AT90/12</f>
        <v>16.759691169965027</v>
      </c>
      <c r="BO90" s="2">
        <f t="shared" ref="BO90" si="109">BD90-BL90-BM90-BN90</f>
        <v>31.298653229777923</v>
      </c>
      <c r="BP90" s="18">
        <f t="shared" ref="BP90" si="110">BA90/AZ90</f>
        <v>0.765421984673053</v>
      </c>
      <c r="BQ90" s="18">
        <f t="shared" ref="BQ90" si="111">BE90/BD90</f>
        <v>0.75972089652553287</v>
      </c>
      <c r="BR90" s="18">
        <f t="shared" ref="BR90" si="112">BI90/AZ90</f>
        <v>0.11222153401189987</v>
      </c>
      <c r="BS90" s="18">
        <f t="shared" ref="BS90" si="113">BM90/BD90</f>
        <v>0.10783350596190305</v>
      </c>
      <c r="BT90" s="27">
        <f>BD90/Kool!BJ90</f>
        <v>1.5082048347297092</v>
      </c>
      <c r="BW90" s="27">
        <f t="shared" ref="BW90:BW92" si="114">AS90/AX90</f>
        <v>17.987932768280416</v>
      </c>
      <c r="BX90" s="27">
        <f t="shared" ref="BX90:BX92" si="115">AT90/AY90</f>
        <v>17.454399766899765</v>
      </c>
      <c r="CA90" s="2"/>
      <c r="CD90" s="18"/>
    </row>
    <row r="91" spans="1:87" x14ac:dyDescent="0.35">
      <c r="A91" t="s">
        <v>237</v>
      </c>
      <c r="B91" s="2">
        <f>79-B90-B92</f>
        <v>29</v>
      </c>
      <c r="C91" s="2">
        <f>C83-C90-C92</f>
        <v>3535738.0400000014</v>
      </c>
      <c r="D91" s="2">
        <f t="shared" ref="D91:AT91" si="116">D83-D90-D92</f>
        <v>61411.140000000058</v>
      </c>
      <c r="E91" s="2">
        <f t="shared" si="116"/>
        <v>28769856.515322581</v>
      </c>
      <c r="F91" s="2">
        <f t="shared" si="116"/>
        <v>10108789.869999988</v>
      </c>
      <c r="G91" s="2">
        <f t="shared" si="116"/>
        <v>2448454.6899999995</v>
      </c>
      <c r="H91" s="2">
        <f t="shared" si="116"/>
        <v>90616309.749999955</v>
      </c>
      <c r="I91" s="2">
        <f t="shared" si="116"/>
        <v>5608594.5099999951</v>
      </c>
      <c r="J91" s="2">
        <f t="shared" si="116"/>
        <v>779484.26836165227</v>
      </c>
      <c r="K91" s="2">
        <f t="shared" si="116"/>
        <v>119262604.35368431</v>
      </c>
      <c r="L91" s="2">
        <f t="shared" si="116"/>
        <v>3975721.090000004</v>
      </c>
      <c r="M91" s="2">
        <f t="shared" si="116"/>
        <v>93370.189999999493</v>
      </c>
      <c r="N91" s="2">
        <f t="shared" si="116"/>
        <v>29463874.807159659</v>
      </c>
      <c r="O91" s="2">
        <f t="shared" si="116"/>
        <v>9488371.3700000029</v>
      </c>
      <c r="P91" s="2">
        <f t="shared" si="116"/>
        <v>2617526.75</v>
      </c>
      <c r="Q91" s="2">
        <f t="shared" si="116"/>
        <v>95500429.970000044</v>
      </c>
      <c r="R91" s="2">
        <f t="shared" si="116"/>
        <v>5701965.339999998</v>
      </c>
      <c r="S91" s="2">
        <f t="shared" si="116"/>
        <v>578956.85319541919</v>
      </c>
      <c r="T91" s="2">
        <f t="shared" si="116"/>
        <v>125825946.88035512</v>
      </c>
      <c r="U91" s="2">
        <f t="shared" si="116"/>
        <v>16936982.665322572</v>
      </c>
      <c r="V91" s="2">
        <f t="shared" si="116"/>
        <v>8601659.0000000075</v>
      </c>
      <c r="W91" s="2">
        <f t="shared" si="116"/>
        <v>3718055.1453225827</v>
      </c>
      <c r="X91" s="2">
        <f t="shared" si="116"/>
        <v>560</v>
      </c>
      <c r="Y91" s="2">
        <f t="shared" ref="Y91" si="117">Y83-Y90-Y92</f>
        <v>3302856.8499999987</v>
      </c>
      <c r="Z91" s="2">
        <f t="shared" si="116"/>
        <v>4189370</v>
      </c>
      <c r="AA91" s="2">
        <f t="shared" si="116"/>
        <v>18367353.877159715</v>
      </c>
      <c r="AB91" s="2">
        <f t="shared" si="116"/>
        <v>9803590.1800000146</v>
      </c>
      <c r="AC91" s="2">
        <f t="shared" si="116"/>
        <v>4026907.557159693</v>
      </c>
      <c r="AD91" s="2">
        <f t="shared" si="116"/>
        <v>0</v>
      </c>
      <c r="AE91" s="2">
        <f t="shared" ref="AE91" si="118">AE83-AE90-AE92</f>
        <v>3413000.3999999985</v>
      </c>
      <c r="AF91" s="2">
        <f t="shared" si="116"/>
        <v>4244853</v>
      </c>
      <c r="AG91" s="2">
        <f t="shared" si="116"/>
        <v>13071</v>
      </c>
      <c r="AH91" s="2">
        <f t="shared" si="116"/>
        <v>2393</v>
      </c>
      <c r="AI91" s="2">
        <f t="shared" si="116"/>
        <v>15464</v>
      </c>
      <c r="AJ91" s="18">
        <f t="shared" si="94"/>
        <v>0.15474650801862391</v>
      </c>
      <c r="AK91" s="2">
        <f t="shared" si="116"/>
        <v>13448</v>
      </c>
      <c r="AL91" s="2">
        <f t="shared" si="116"/>
        <v>2333</v>
      </c>
      <c r="AM91" s="2">
        <f t="shared" si="116"/>
        <v>15781</v>
      </c>
      <c r="AN91" s="18">
        <f t="shared" si="95"/>
        <v>0.1478360053228566</v>
      </c>
      <c r="AO91" s="2">
        <f t="shared" si="116"/>
        <v>13018</v>
      </c>
      <c r="AP91" s="2">
        <f t="shared" si="116"/>
        <v>2279</v>
      </c>
      <c r="AQ91" s="2">
        <f t="shared" si="116"/>
        <v>15297</v>
      </c>
      <c r="AR91" s="18">
        <f t="shared" si="96"/>
        <v>0.14898346080930902</v>
      </c>
      <c r="AS91" s="2">
        <f t="shared" si="116"/>
        <v>15569.666666666668</v>
      </c>
      <c r="AT91" s="2">
        <f t="shared" si="116"/>
        <v>15619.666666666673</v>
      </c>
      <c r="AU91" s="2">
        <f t="shared" ref="AU91:AY91" si="119">AU83-AU90-AU92</f>
        <v>901</v>
      </c>
      <c r="AV91" s="2">
        <f t="shared" si="119"/>
        <v>931</v>
      </c>
      <c r="AW91" s="2">
        <f t="shared" si="119"/>
        <v>947</v>
      </c>
      <c r="AX91" s="2">
        <f t="shared" si="119"/>
        <v>911.00000000000045</v>
      </c>
      <c r="AY91" s="2">
        <f t="shared" si="119"/>
        <v>936.33333333333371</v>
      </c>
      <c r="AZ91" s="2">
        <f t="shared" si="98"/>
        <v>638.32775457451612</v>
      </c>
      <c r="BA91" s="2">
        <f t="shared" si="99"/>
        <v>485.00454810636035</v>
      </c>
      <c r="BB91" s="2">
        <f t="shared" si="100"/>
        <v>43.123644265559072</v>
      </c>
      <c r="BC91" s="2">
        <f t="shared" si="101"/>
        <v>110.1995622025967</v>
      </c>
      <c r="BD91" s="2">
        <f>T91/AT91/12</f>
        <v>671.3008540534106</v>
      </c>
      <c r="BE91" s="2">
        <f>Q91/AT91/12</f>
        <v>509.50953909601145</v>
      </c>
      <c r="BF91" s="2">
        <f>(R91+P91)/AT91/12</f>
        <v>44.385774824473394</v>
      </c>
      <c r="BG91" s="2">
        <f t="shared" si="102"/>
        <v>117.40554013292575</v>
      </c>
      <c r="BH91" s="2">
        <f t="shared" si="103"/>
        <v>525.25343985292841</v>
      </c>
      <c r="BI91" s="2">
        <f t="shared" si="104"/>
        <v>65.94165013874516</v>
      </c>
      <c r="BJ91" s="2">
        <f t="shared" si="105"/>
        <v>17.677839656169038</v>
      </c>
      <c r="BK91" s="2">
        <f t="shared" si="106"/>
        <v>29.454824926673513</v>
      </c>
      <c r="BL91" s="2">
        <f>(T91-AA91-AF91)/AT91/12</f>
        <v>550.66123905330539</v>
      </c>
      <c r="BM91" s="20">
        <f t="shared" si="107"/>
        <v>73.787840847861148</v>
      </c>
      <c r="BN91" s="20">
        <f t="shared" ref="BN91:BN92" si="120">AE91/AT91/12</f>
        <v>18.208884099105813</v>
      </c>
      <c r="BO91" s="2">
        <f t="shared" ref="BO91:BO92" si="121">BD91-BL91-BM91-BN91</f>
        <v>28.642890053138249</v>
      </c>
      <c r="BP91" s="18">
        <f t="shared" ref="BP91:BP92" si="122">BA91/AZ91</f>
        <v>0.75980488805417068</v>
      </c>
      <c r="BQ91" s="18">
        <f t="shared" ref="BQ91:BQ92" si="123">BE91/BD91</f>
        <v>0.75898836716729912</v>
      </c>
      <c r="BR91" s="18">
        <f t="shared" ref="BR91:BR92" si="124">BI91/AZ91</f>
        <v>0.1033037490006983</v>
      </c>
      <c r="BS91" s="18">
        <f t="shared" ref="BS91:BS92" si="125">BM91/BD91</f>
        <v>0.10991769249557722</v>
      </c>
      <c r="BT91" s="27">
        <f>BD91/Kool!BJ91</f>
        <v>1.2233950937844311</v>
      </c>
      <c r="BW91" s="27">
        <f t="shared" si="114"/>
        <v>17.090742773508957</v>
      </c>
      <c r="BX91" s="27">
        <f t="shared" si="115"/>
        <v>16.68173727305091</v>
      </c>
      <c r="CA91" s="2"/>
      <c r="CD91" s="18"/>
    </row>
    <row r="92" spans="1:87" x14ac:dyDescent="0.35">
      <c r="A92" t="s">
        <v>236</v>
      </c>
      <c r="B92" s="2">
        <f>COUNTIF($CB$4:$CB$82,"&gt;1,75")</f>
        <v>30</v>
      </c>
      <c r="C92" s="2">
        <f t="shared" ref="C92:AI92" si="126">SUMIF($CB$4:$CB$82,"&gt;1,75",C$4:C$82)</f>
        <v>1539310.8900000001</v>
      </c>
      <c r="D92" s="2">
        <f t="shared" si="126"/>
        <v>34479.229999999996</v>
      </c>
      <c r="E92" s="2">
        <f t="shared" si="126"/>
        <v>11943044.42</v>
      </c>
      <c r="F92" s="2">
        <f t="shared" si="126"/>
        <v>3959844.76</v>
      </c>
      <c r="G92" s="2">
        <f t="shared" si="126"/>
        <v>77691.149999999994</v>
      </c>
      <c r="H92" s="2">
        <f t="shared" si="126"/>
        <v>42318931.540000007</v>
      </c>
      <c r="I92" s="2">
        <f t="shared" si="126"/>
        <v>2014874.29</v>
      </c>
      <c r="J92" s="2">
        <f t="shared" si="126"/>
        <v>1752131.3527588299</v>
      </c>
      <c r="K92" s="2">
        <f t="shared" si="126"/>
        <v>55642926.962758832</v>
      </c>
      <c r="L92" s="2">
        <f t="shared" si="126"/>
        <v>1675936.5799999996</v>
      </c>
      <c r="M92" s="2">
        <f t="shared" si="126"/>
        <v>26060.01</v>
      </c>
      <c r="N92" s="2">
        <f t="shared" si="126"/>
        <v>12103614.050000001</v>
      </c>
      <c r="O92" s="2">
        <f t="shared" si="126"/>
        <v>3774665.17</v>
      </c>
      <c r="P92" s="2">
        <f t="shared" si="126"/>
        <v>74360.829999999987</v>
      </c>
      <c r="Q92" s="2">
        <f t="shared" si="126"/>
        <v>43870938.899999991</v>
      </c>
      <c r="R92" s="2">
        <f t="shared" si="126"/>
        <v>2489170.7400000002</v>
      </c>
      <c r="S92" s="2">
        <f t="shared" si="126"/>
        <v>648563.15087575431</v>
      </c>
      <c r="T92" s="2">
        <f t="shared" si="126"/>
        <v>57039618.260875762</v>
      </c>
      <c r="U92" s="2">
        <f t="shared" si="126"/>
        <v>8486903.5600000005</v>
      </c>
      <c r="V92" s="2">
        <f t="shared" si="126"/>
        <v>2709818.3299999991</v>
      </c>
      <c r="W92" s="2">
        <f t="shared" si="126"/>
        <v>1958272.9400000004</v>
      </c>
      <c r="X92" s="2">
        <f t="shared" si="126"/>
        <v>3798</v>
      </c>
      <c r="Y92" s="2">
        <f t="shared" si="126"/>
        <v>3078405.04</v>
      </c>
      <c r="Z92" s="2">
        <f t="shared" si="126"/>
        <v>2193123</v>
      </c>
      <c r="AA92" s="2">
        <f t="shared" si="126"/>
        <v>8913368.660000002</v>
      </c>
      <c r="AB92" s="2">
        <f t="shared" si="126"/>
        <v>2969562.0900000008</v>
      </c>
      <c r="AC92" s="2">
        <f t="shared" si="126"/>
        <v>2075284.79</v>
      </c>
      <c r="AD92" s="2">
        <f t="shared" si="126"/>
        <v>0</v>
      </c>
      <c r="AE92" s="2">
        <f t="shared" si="126"/>
        <v>3179762.1899999995</v>
      </c>
      <c r="AF92" s="2">
        <f t="shared" si="126"/>
        <v>2202450</v>
      </c>
      <c r="AG92" s="2">
        <f t="shared" si="126"/>
        <v>5614</v>
      </c>
      <c r="AH92" s="2">
        <f t="shared" si="126"/>
        <v>1822</v>
      </c>
      <c r="AI92" s="2">
        <f t="shared" si="126"/>
        <v>7436</v>
      </c>
      <c r="AJ92" s="18">
        <f t="shared" si="94"/>
        <v>0.2450242065626681</v>
      </c>
      <c r="AK92" s="2">
        <f>SUMIF($CB$4:$CB$82,"&gt;1,75",AK$4:AK$82)</f>
        <v>5920</v>
      </c>
      <c r="AL92" s="2">
        <f>SUMIF($CB$4:$CB$82,"&gt;1,75",AL$4:AL$82)</f>
        <v>1467</v>
      </c>
      <c r="AM92" s="2">
        <f>SUMIF($CB$4:$CB$82,"&gt;1,75",AM$4:AM$82)</f>
        <v>7387</v>
      </c>
      <c r="AN92" s="18">
        <f t="shared" si="95"/>
        <v>0.19859212129416542</v>
      </c>
      <c r="AO92" s="2">
        <f>SUMIF($CB$4:$CB$82,"&gt;1,75",AO$4:AO$82)</f>
        <v>5826</v>
      </c>
      <c r="AP92" s="2">
        <f>SUMIF($CB$4:$CB$82,"&gt;1,75",AP$4:AP$82)</f>
        <v>1307</v>
      </c>
      <c r="AQ92" s="2">
        <f>SUMIF($CB$4:$CB$82,"&gt;1,75",AQ$4:AQ$82)</f>
        <v>7133</v>
      </c>
      <c r="AR92" s="18">
        <f t="shared" si="96"/>
        <v>0.18323286134866115</v>
      </c>
      <c r="AS92" s="2">
        <f t="shared" ref="AS92:AY92" si="127">SUMIF($CB$4:$CB$82,"&gt;1,75",AS$4:AS$82)</f>
        <v>7419.666666666667</v>
      </c>
      <c r="AT92" s="2">
        <f t="shared" si="127"/>
        <v>7302.3333333333339</v>
      </c>
      <c r="AU92" s="2">
        <f t="shared" si="127"/>
        <v>455</v>
      </c>
      <c r="AV92" s="2">
        <f t="shared" si="127"/>
        <v>467</v>
      </c>
      <c r="AW92" s="2">
        <f t="shared" si="127"/>
        <v>468</v>
      </c>
      <c r="AX92" s="2">
        <f t="shared" si="127"/>
        <v>459</v>
      </c>
      <c r="AY92" s="2">
        <f t="shared" si="127"/>
        <v>467.33333333333331</v>
      </c>
      <c r="AZ92" s="2">
        <f t="shared" si="98"/>
        <v>624.94863833459306</v>
      </c>
      <c r="BA92" s="2">
        <f t="shared" si="99"/>
        <v>475.3013560806865</v>
      </c>
      <c r="BB92" s="2">
        <f t="shared" si="100"/>
        <v>23.502464621052155</v>
      </c>
      <c r="BC92" s="2">
        <f t="shared" si="101"/>
        <v>126.1448176328544</v>
      </c>
      <c r="BD92" s="2">
        <f>T92/AT92/12</f>
        <v>650.92913521791843</v>
      </c>
      <c r="BE92" s="2">
        <f>Q92/AT92/12</f>
        <v>500.64977975076448</v>
      </c>
      <c r="BF92" s="2">
        <f>(R92+P92)/AT92/12</f>
        <v>29.254708198292786</v>
      </c>
      <c r="BG92" s="2">
        <f t="shared" si="102"/>
        <v>121.02464726886116</v>
      </c>
      <c r="BH92" s="2">
        <f t="shared" si="103"/>
        <v>504.99685972818662</v>
      </c>
      <c r="BI92" s="2">
        <f t="shared" si="104"/>
        <v>52.471913271036421</v>
      </c>
      <c r="BJ92" s="2">
        <f t="shared" si="105"/>
        <v>34.574835347499885</v>
      </c>
      <c r="BK92" s="2">
        <f t="shared" si="106"/>
        <v>32.905029987870137</v>
      </c>
      <c r="BL92" s="2">
        <f>(T92-AA92-AF92)/AT92/12</f>
        <v>524.0767745569425</v>
      </c>
      <c r="BM92" s="20">
        <f t="shared" si="107"/>
        <v>57.57117451043046</v>
      </c>
      <c r="BN92" s="20">
        <f t="shared" si="120"/>
        <v>36.287056534441035</v>
      </c>
      <c r="BO92" s="2">
        <f t="shared" si="121"/>
        <v>32.994129616104431</v>
      </c>
      <c r="BP92" s="18">
        <f t="shared" si="122"/>
        <v>0.76054467027450912</v>
      </c>
      <c r="BQ92" s="18">
        <f t="shared" si="123"/>
        <v>0.76913100468787077</v>
      </c>
      <c r="BR92" s="18">
        <f t="shared" si="124"/>
        <v>8.3961961115504233E-2</v>
      </c>
      <c r="BS92" s="18">
        <f t="shared" si="125"/>
        <v>8.8444611549238383E-2</v>
      </c>
      <c r="BT92" s="27">
        <f>BD92/Kool!BJ92</f>
        <v>1.0195912304085499</v>
      </c>
      <c r="BW92" s="27">
        <f t="shared" si="114"/>
        <v>16.16485112563544</v>
      </c>
      <c r="BX92" s="27">
        <f t="shared" si="115"/>
        <v>15.625534950071328</v>
      </c>
      <c r="CA92" s="2"/>
      <c r="CD92" s="18"/>
    </row>
    <row r="93" spans="1:87" x14ac:dyDescent="0.35">
      <c r="B93" s="52"/>
      <c r="AQ93" s="2"/>
      <c r="BP93" s="18"/>
      <c r="BQ93" s="18"/>
      <c r="BR93" s="18"/>
      <c r="BS93" s="18"/>
    </row>
    <row r="94" spans="1:87" x14ac:dyDescent="0.35">
      <c r="A94" s="1" t="s">
        <v>229</v>
      </c>
      <c r="AQ94" s="2"/>
      <c r="BP94" s="18"/>
      <c r="BQ94" s="18"/>
      <c r="BR94" s="18"/>
      <c r="BS94" s="18"/>
    </row>
    <row r="95" spans="1:87" x14ac:dyDescent="0.35">
      <c r="A95" t="s">
        <v>232</v>
      </c>
      <c r="B95" s="2">
        <f>COUNTIF($CE$4:$CE$82,A95)</f>
        <v>12</v>
      </c>
      <c r="C95" s="2">
        <f t="shared" ref="C95:L97" si="128">SUMIF($CE$4:$CE$82,$A95,C$4:C$82)</f>
        <v>7308347.1399999997</v>
      </c>
      <c r="D95" s="2">
        <f t="shared" si="128"/>
        <v>36063.75</v>
      </c>
      <c r="E95" s="2">
        <f t="shared" si="128"/>
        <v>56821968.857482463</v>
      </c>
      <c r="F95" s="2">
        <f t="shared" si="128"/>
        <v>19715083.969999999</v>
      </c>
      <c r="G95" s="2">
        <f t="shared" si="128"/>
        <v>1924794.59</v>
      </c>
      <c r="H95" s="2">
        <f t="shared" si="128"/>
        <v>155432641.54000002</v>
      </c>
      <c r="I95" s="2">
        <f t="shared" si="128"/>
        <v>5907025.7799999993</v>
      </c>
      <c r="J95" s="2">
        <f t="shared" si="128"/>
        <v>81646.613395577908</v>
      </c>
      <c r="K95" s="2">
        <f t="shared" si="128"/>
        <v>205872609.71087807</v>
      </c>
      <c r="L95" s="2">
        <f t="shared" si="128"/>
        <v>8022333.3400000008</v>
      </c>
      <c r="M95" s="2">
        <f t="shared" ref="M95:V97" si="129">SUMIF($CE$4:$CE$82,$A95,M$4:M$82)</f>
        <v>1052628.21</v>
      </c>
      <c r="N95" s="2">
        <f t="shared" si="129"/>
        <v>54383518.144011952</v>
      </c>
      <c r="O95" s="2">
        <f t="shared" si="129"/>
        <v>17372999.180000003</v>
      </c>
      <c r="P95" s="2">
        <f t="shared" si="129"/>
        <v>2207563.73</v>
      </c>
      <c r="Q95" s="2">
        <f t="shared" si="129"/>
        <v>157153634.71000004</v>
      </c>
      <c r="R95" s="2">
        <f t="shared" si="129"/>
        <v>7082097.4800000004</v>
      </c>
      <c r="S95" s="2">
        <f t="shared" si="129"/>
        <v>95009.547896894655</v>
      </c>
      <c r="T95" s="2">
        <f t="shared" si="129"/>
        <v>210416222.25190887</v>
      </c>
      <c r="U95" s="2">
        <f t="shared" si="129"/>
        <v>28299717.657482471</v>
      </c>
      <c r="V95" s="2">
        <f t="shared" si="129"/>
        <v>17107432.609999999</v>
      </c>
      <c r="W95" s="2">
        <f t="shared" ref="W95:AF97" si="130">SUMIF($CE$4:$CE$82,$A95,W$4:W$82)</f>
        <v>4081303.217482469</v>
      </c>
      <c r="X95" s="2">
        <f t="shared" si="130"/>
        <v>0</v>
      </c>
      <c r="Y95" s="2">
        <f t="shared" si="130"/>
        <v>2981858.5100000002</v>
      </c>
      <c r="Z95" s="2">
        <f t="shared" si="130"/>
        <v>3639425</v>
      </c>
      <c r="AA95" s="2">
        <f t="shared" si="130"/>
        <v>25113290.414011929</v>
      </c>
      <c r="AB95" s="2">
        <f t="shared" si="130"/>
        <v>15124660.239999998</v>
      </c>
      <c r="AC95" s="2">
        <f t="shared" si="130"/>
        <v>4938302.7440119265</v>
      </c>
      <c r="AD95" s="2">
        <f t="shared" si="130"/>
        <v>0</v>
      </c>
      <c r="AE95" s="2">
        <f t="shared" si="130"/>
        <v>2735412.11</v>
      </c>
      <c r="AF95" s="2">
        <f t="shared" si="130"/>
        <v>3587626</v>
      </c>
      <c r="AG95" s="2">
        <f t="shared" ref="AG95:AQ97" si="131">SUMIF($CE$4:$CE$82,$A95,AG$4:AG$82)</f>
        <v>26134</v>
      </c>
      <c r="AH95" s="2">
        <f t="shared" si="131"/>
        <v>1095</v>
      </c>
      <c r="AI95" s="2">
        <f t="shared" si="131"/>
        <v>27229</v>
      </c>
      <c r="AJ95" s="2">
        <f t="shared" si="131"/>
        <v>1.9129417369744668</v>
      </c>
      <c r="AK95" s="2">
        <f t="shared" si="131"/>
        <v>25245</v>
      </c>
      <c r="AL95" s="2">
        <f t="shared" si="131"/>
        <v>1052</v>
      </c>
      <c r="AM95" s="2">
        <f t="shared" si="131"/>
        <v>26297</v>
      </c>
      <c r="AN95" s="2">
        <f t="shared" si="131"/>
        <v>1.8798615828618828</v>
      </c>
      <c r="AO95" s="2">
        <f t="shared" si="131"/>
        <v>24112</v>
      </c>
      <c r="AP95" s="2">
        <f t="shared" si="131"/>
        <v>1047</v>
      </c>
      <c r="AQ95" s="2">
        <f t="shared" si="131"/>
        <v>25159</v>
      </c>
      <c r="AR95" s="18">
        <f t="shared" ref="AR95:AR97" si="132">AP95/AQ95</f>
        <v>4.1615326523311735E-2</v>
      </c>
      <c r="AS95" s="34">
        <f t="shared" ref="AS95:AS97" si="133">AI95*2/3+AM95*1/3</f>
        <v>26918.333333333336</v>
      </c>
      <c r="AT95" s="34">
        <f t="shared" ref="AT95:AT97" si="134">AM95*2/3+AQ95*1/3</f>
        <v>25917.666666666664</v>
      </c>
      <c r="AU95" s="34">
        <f t="shared" ref="AU95:AU97" si="135">AN95*2/3+AR95*1/3</f>
        <v>1.2671128307490258</v>
      </c>
      <c r="AV95" s="34">
        <f t="shared" ref="AV95:AV97" si="136">AO95*2/3+AS95*1/3</f>
        <v>25047.444444444445</v>
      </c>
      <c r="AW95" s="34">
        <f t="shared" ref="AW95:AW97" si="137">AP95*2/3+AT95*1/3</f>
        <v>9337.2222222222208</v>
      </c>
      <c r="AX95" s="34">
        <f t="shared" ref="AX95:AX97" si="138">AQ95*2/3+AU95*1/3</f>
        <v>16773.089037610251</v>
      </c>
      <c r="AY95" s="34">
        <f t="shared" ref="AY95:AY97" si="139">AR95*2/3+AV95*1/3</f>
        <v>8349.1758916991639</v>
      </c>
      <c r="AZ95" s="2">
        <f t="shared" ref="AZ95" si="140">K95/AS95/12</f>
        <v>637.33703705924734</v>
      </c>
      <c r="BA95" s="2">
        <f t="shared" ref="BA95" si="141">H95/AS95/12</f>
        <v>481.18581369574645</v>
      </c>
      <c r="BB95" s="2">
        <f t="shared" ref="BB95" si="142">(G95+I95)/AS95/12</f>
        <v>24.245620611726824</v>
      </c>
      <c r="BC95" s="2">
        <f t="shared" ref="BC95" si="143">AZ95-BA95-BB95</f>
        <v>131.90560275177407</v>
      </c>
      <c r="BD95" s="2">
        <f>T95/AT95/12</f>
        <v>676.55338781754051</v>
      </c>
      <c r="BE95" s="2">
        <f>Q95/AT95/12</f>
        <v>505.29765639267953</v>
      </c>
      <c r="BF95" s="2">
        <f>(R95+P95)/AT95/12</f>
        <v>29.869140772703307</v>
      </c>
      <c r="BG95" s="2">
        <f t="shared" ref="BG95" si="144">BD95-BE95-BF95</f>
        <v>141.38659065215768</v>
      </c>
      <c r="BH95" s="2">
        <f t="shared" ref="BH95" si="145">(K95-U95-Z95)/AS95/12</f>
        <v>538.46036484860258</v>
      </c>
      <c r="BI95" s="2">
        <f t="shared" ref="BI95" si="146">(V95+W95+X95)/AS95/12</f>
        <v>65.595739667768143</v>
      </c>
      <c r="BJ95" s="2">
        <f t="shared" ref="BJ95:BJ97" si="147">Y95/AS95/12</f>
        <v>9.231188502259922</v>
      </c>
      <c r="BK95" s="2">
        <f t="shared" ref="BK95:BK97" si="148">AZ95-BH95-BI95-BJ95</f>
        <v>24.049744040616691</v>
      </c>
      <c r="BL95" s="2">
        <f>(T95-AA95-AF95)/AT95/12</f>
        <v>584.27104368287064</v>
      </c>
      <c r="BM95" s="20">
        <f t="shared" ref="BM95" si="149">(AB95+AC95+AD95)/AT95/12</f>
        <v>64.508645917237686</v>
      </c>
      <c r="BN95" s="20">
        <f t="shared" ref="BN95:BN97" si="150">AE95/AT95/12</f>
        <v>8.7951979666379447</v>
      </c>
      <c r="BO95" s="2">
        <f t="shared" ref="BO95:BO97" si="151">BD95-BL95-BM95-BN95</f>
        <v>18.978500250794241</v>
      </c>
      <c r="BP95" s="18">
        <f t="shared" ref="BP95:BP97" si="152">BA95/AZ95</f>
        <v>0.75499427416928078</v>
      </c>
      <c r="BQ95" s="18">
        <f t="shared" ref="BQ95:BQ97" si="153">BE95/BD95</f>
        <v>0.74687033646035506</v>
      </c>
      <c r="BR95" s="18">
        <f t="shared" ref="BR95:BR97" si="154">BI95/AZ95</f>
        <v>0.10292158756446208</v>
      </c>
      <c r="BS95" s="18">
        <f t="shared" ref="BS95:BS97" si="155">BM95/BD95</f>
        <v>9.5348936357163003E-2</v>
      </c>
      <c r="BT95" s="27">
        <f>BD95/Kool!BJ95</f>
        <v>1.4692257931353738</v>
      </c>
      <c r="BW95" s="27">
        <f t="shared" ref="BW95:BW97" si="156">AS95/AX95</f>
        <v>1.6048524677222205</v>
      </c>
      <c r="BX95" s="27">
        <f t="shared" ref="BX95:BX97" si="157">AT95/AY95</f>
        <v>3.1042185483760467</v>
      </c>
    </row>
    <row r="96" spans="1:87" x14ac:dyDescent="0.35">
      <c r="A96" t="s">
        <v>233</v>
      </c>
      <c r="B96" s="2">
        <f>COUNTIF($CE$4:$CE$82,A96)</f>
        <v>13</v>
      </c>
      <c r="C96" s="2">
        <f t="shared" si="128"/>
        <v>2011735.4100000001</v>
      </c>
      <c r="D96" s="2">
        <f t="shared" si="128"/>
        <v>50898.409999999996</v>
      </c>
      <c r="E96" s="2">
        <f t="shared" si="128"/>
        <v>15159771.22498247</v>
      </c>
      <c r="F96" s="2">
        <f t="shared" si="128"/>
        <v>4000361.78</v>
      </c>
      <c r="G96" s="2">
        <f t="shared" si="128"/>
        <v>1179069.73</v>
      </c>
      <c r="H96" s="2">
        <f t="shared" si="128"/>
        <v>54632876.189999998</v>
      </c>
      <c r="I96" s="2">
        <f t="shared" si="128"/>
        <v>3918840.61</v>
      </c>
      <c r="J96" s="2">
        <f t="shared" si="128"/>
        <v>474861.52371613571</v>
      </c>
      <c r="K96" s="2">
        <f t="shared" si="128"/>
        <v>72248621.588698611</v>
      </c>
      <c r="L96" s="2">
        <f t="shared" si="128"/>
        <v>2242346.8500000006</v>
      </c>
      <c r="M96" s="2">
        <f t="shared" si="129"/>
        <v>55364.35</v>
      </c>
      <c r="N96" s="2">
        <f t="shared" si="129"/>
        <v>15602724.693147765</v>
      </c>
      <c r="O96" s="2">
        <f t="shared" si="129"/>
        <v>4028859.6</v>
      </c>
      <c r="P96" s="2">
        <f t="shared" si="129"/>
        <v>1300425.8700000001</v>
      </c>
      <c r="Q96" s="2">
        <f t="shared" si="129"/>
        <v>55237618.770000011</v>
      </c>
      <c r="R96" s="2">
        <f t="shared" si="129"/>
        <v>4254057.5</v>
      </c>
      <c r="S96" s="2">
        <f t="shared" si="129"/>
        <v>183812.53288993932</v>
      </c>
      <c r="T96" s="2">
        <f t="shared" si="129"/>
        <v>73547065.096037716</v>
      </c>
      <c r="U96" s="2">
        <f t="shared" si="129"/>
        <v>13667483.404982468</v>
      </c>
      <c r="V96" s="2">
        <f t="shared" si="129"/>
        <v>6489350.4600000009</v>
      </c>
      <c r="W96" s="2">
        <f t="shared" si="130"/>
        <v>2441783.2649824684</v>
      </c>
      <c r="X96" s="2">
        <f t="shared" si="130"/>
        <v>560</v>
      </c>
      <c r="Y96" s="2">
        <f t="shared" si="130"/>
        <v>3207380.84</v>
      </c>
      <c r="Z96" s="2">
        <f t="shared" si="130"/>
        <v>2564954</v>
      </c>
      <c r="AA96" s="2">
        <f t="shared" si="130"/>
        <v>13413519.563147768</v>
      </c>
      <c r="AB96" s="2">
        <f t="shared" si="130"/>
        <v>6498598.9000000004</v>
      </c>
      <c r="AC96" s="2">
        <f t="shared" si="130"/>
        <v>2550903.533147769</v>
      </c>
      <c r="AD96" s="2">
        <f t="shared" si="130"/>
        <v>0</v>
      </c>
      <c r="AE96" s="2">
        <f t="shared" si="130"/>
        <v>3301014.07</v>
      </c>
      <c r="AF96" s="2">
        <f t="shared" si="130"/>
        <v>2592184</v>
      </c>
      <c r="AG96" s="2">
        <f t="shared" si="131"/>
        <v>8450</v>
      </c>
      <c r="AH96" s="2">
        <f t="shared" si="131"/>
        <v>360</v>
      </c>
      <c r="AI96" s="2">
        <f t="shared" si="131"/>
        <v>8810</v>
      </c>
      <c r="AJ96" s="2">
        <f t="shared" si="131"/>
        <v>2.4219709951640498</v>
      </c>
      <c r="AK96" s="2">
        <f t="shared" si="131"/>
        <v>8389</v>
      </c>
      <c r="AL96" s="2">
        <f t="shared" si="131"/>
        <v>362</v>
      </c>
      <c r="AM96" s="2">
        <f t="shared" si="131"/>
        <v>8751</v>
      </c>
      <c r="AN96" s="2">
        <f t="shared" si="131"/>
        <v>2.3680147001671492</v>
      </c>
      <c r="AO96" s="2">
        <f t="shared" si="131"/>
        <v>8013</v>
      </c>
      <c r="AP96" s="2">
        <f t="shared" si="131"/>
        <v>342</v>
      </c>
      <c r="AQ96" s="2">
        <f t="shared" si="131"/>
        <v>8355</v>
      </c>
      <c r="AR96" s="18">
        <f t="shared" si="132"/>
        <v>4.0933572710951528E-2</v>
      </c>
      <c r="AS96" s="34">
        <f t="shared" si="133"/>
        <v>8790.3333333333321</v>
      </c>
      <c r="AT96" s="34">
        <f t="shared" si="134"/>
        <v>8619</v>
      </c>
      <c r="AU96" s="34">
        <f t="shared" si="135"/>
        <v>1.5923209910150833</v>
      </c>
      <c r="AV96" s="34">
        <f t="shared" si="136"/>
        <v>8272.1111111111113</v>
      </c>
      <c r="AW96" s="34">
        <f t="shared" si="137"/>
        <v>3101</v>
      </c>
      <c r="AX96" s="34">
        <f t="shared" si="138"/>
        <v>5570.5307736636714</v>
      </c>
      <c r="AY96" s="34">
        <f t="shared" si="139"/>
        <v>2757.3976594188443</v>
      </c>
      <c r="AZ96" s="2">
        <f t="shared" ref="AZ96:AZ97" si="158">K96/AS96/12</f>
        <v>684.92493258407558</v>
      </c>
      <c r="BA96" s="2">
        <f t="shared" ref="BA96:BA97" si="159">H96/AS96/12</f>
        <v>517.92571565355888</v>
      </c>
      <c r="BB96" s="2">
        <f t="shared" ref="BB96:BB97" si="160">(G96+I96)/AS96/12</f>
        <v>48.3287545030526</v>
      </c>
      <c r="BC96" s="2">
        <f t="shared" ref="BC96:BC97" si="161">AZ96-BA96-BB96</f>
        <v>118.67046242746409</v>
      </c>
      <c r="BD96" s="2">
        <f t="shared" ref="BD96:BD97" si="162">T96/AT96/12</f>
        <v>711.09433708509994</v>
      </c>
      <c r="BE96" s="2">
        <f t="shared" ref="BE96:BE97" si="163">Q96/AT96/12</f>
        <v>534.06832550179843</v>
      </c>
      <c r="BF96" s="2">
        <f t="shared" ref="BF96:BF97" si="164">(R96+P96)/AT96/12</f>
        <v>53.703865200912709</v>
      </c>
      <c r="BG96" s="2">
        <f t="shared" ref="BG96:BG97" si="165">BD96-BE96-BF96</f>
        <v>123.32214638238881</v>
      </c>
      <c r="BH96" s="2">
        <f t="shared" ref="BH96:BH97" si="166">(K96-U96-Z96)/AS96/12</f>
        <v>531.03962860449121</v>
      </c>
      <c r="BI96" s="2">
        <f t="shared" ref="BI96:BI97" si="167">(V96+W96+X96)/AS96/12</f>
        <v>84.673445498677253</v>
      </c>
      <c r="BJ96" s="2">
        <f t="shared" si="147"/>
        <v>30.406325509081949</v>
      </c>
      <c r="BK96" s="2">
        <f t="shared" si="148"/>
        <v>38.805532971825158</v>
      </c>
      <c r="BL96" s="2">
        <f t="shared" ref="BL96:BL97" si="168">(T96-AA96-AF96)/AT96/12</f>
        <v>556.34220455669595</v>
      </c>
      <c r="BM96" s="20">
        <f t="shared" ref="BM96:BM97" si="169">(AB96+AC96+AD96)/AT96/12</f>
        <v>87.495672672272192</v>
      </c>
      <c r="BN96" s="20">
        <f t="shared" si="150"/>
        <v>31.916058224078583</v>
      </c>
      <c r="BO96" s="2">
        <f t="shared" si="151"/>
        <v>35.340401632053215</v>
      </c>
      <c r="BP96" s="18">
        <f t="shared" si="152"/>
        <v>0.75617880298142415</v>
      </c>
      <c r="BQ96" s="18">
        <f t="shared" si="153"/>
        <v>0.75105129889099931</v>
      </c>
      <c r="BR96" s="18">
        <f t="shared" si="154"/>
        <v>0.12362441702804192</v>
      </c>
      <c r="BS96" s="18">
        <f t="shared" si="155"/>
        <v>0.12304369210832455</v>
      </c>
      <c r="BT96" s="27">
        <f>BD96/Kool!BJ96</f>
        <v>1.5698145876187293</v>
      </c>
      <c r="BW96" s="27">
        <f t="shared" si="156"/>
        <v>1.5780064217385223</v>
      </c>
      <c r="BX96" s="27">
        <f t="shared" si="157"/>
        <v>3.1257733067839628</v>
      </c>
    </row>
    <row r="97" spans="1:76" x14ac:dyDescent="0.35">
      <c r="A97" t="s">
        <v>234</v>
      </c>
      <c r="B97" s="2">
        <f>COUNTIF($CE$4:$CE$82,A97)</f>
        <v>54</v>
      </c>
      <c r="C97" s="2">
        <f t="shared" si="128"/>
        <v>5968083.9900000012</v>
      </c>
      <c r="D97" s="2">
        <f t="shared" si="128"/>
        <v>150144.83000000007</v>
      </c>
      <c r="E97" s="2">
        <f t="shared" si="128"/>
        <v>45063673.024638861</v>
      </c>
      <c r="F97" s="2">
        <f t="shared" si="128"/>
        <v>14599984.300000003</v>
      </c>
      <c r="G97" s="2">
        <f t="shared" si="128"/>
        <v>1399705.62</v>
      </c>
      <c r="H97" s="2">
        <f t="shared" si="128"/>
        <v>167641596.59999996</v>
      </c>
      <c r="I97" s="2">
        <f t="shared" si="128"/>
        <v>9948089.0299999975</v>
      </c>
      <c r="J97" s="2">
        <f t="shared" si="128"/>
        <v>2399530.6951294923</v>
      </c>
      <c r="K97" s="2">
        <f t="shared" si="128"/>
        <v>216571133.86976835</v>
      </c>
      <c r="L97" s="2">
        <f t="shared" si="128"/>
        <v>6377565.9699999997</v>
      </c>
      <c r="M97" s="2">
        <f t="shared" si="129"/>
        <v>153396.37000000005</v>
      </c>
      <c r="N97" s="2">
        <f t="shared" si="129"/>
        <v>45243574.070013747</v>
      </c>
      <c r="O97" s="2">
        <f t="shared" si="129"/>
        <v>14312027.129999995</v>
      </c>
      <c r="P97" s="2">
        <f t="shared" si="129"/>
        <v>1296984.3800000004</v>
      </c>
      <c r="Q97" s="2">
        <f t="shared" si="129"/>
        <v>171393712.41</v>
      </c>
      <c r="R97" s="2">
        <f t="shared" si="129"/>
        <v>10548853.509999998</v>
      </c>
      <c r="S97" s="2">
        <f t="shared" si="129"/>
        <v>1212187.843496237</v>
      </c>
      <c r="T97" s="2">
        <f t="shared" si="129"/>
        <v>220617263.04351002</v>
      </c>
      <c r="U97" s="2">
        <f t="shared" si="129"/>
        <v>36963163.414638847</v>
      </c>
      <c r="V97" s="2">
        <f t="shared" si="129"/>
        <v>14265235.379999995</v>
      </c>
      <c r="W97" s="2">
        <f t="shared" si="130"/>
        <v>8190618.1346388506</v>
      </c>
      <c r="X97" s="2">
        <f t="shared" si="130"/>
        <v>302849.39999999997</v>
      </c>
      <c r="Y97" s="2">
        <f t="shared" si="130"/>
        <v>8768269.4699999988</v>
      </c>
      <c r="Z97" s="2">
        <f t="shared" si="130"/>
        <v>9795621</v>
      </c>
      <c r="AA97" s="2">
        <f t="shared" si="130"/>
        <v>36923774.610013768</v>
      </c>
      <c r="AB97" s="2">
        <f t="shared" si="130"/>
        <v>15691152.119999999</v>
      </c>
      <c r="AC97" s="2">
        <f t="shared" si="130"/>
        <v>8443564.0900137629</v>
      </c>
      <c r="AD97" s="2">
        <f t="shared" si="130"/>
        <v>319817.77</v>
      </c>
      <c r="AE97" s="2">
        <f t="shared" si="130"/>
        <v>8588049.6900000013</v>
      </c>
      <c r="AF97" s="2">
        <f t="shared" si="130"/>
        <v>9820190</v>
      </c>
      <c r="AG97" s="2">
        <f t="shared" si="131"/>
        <v>25192</v>
      </c>
      <c r="AH97" s="2">
        <f t="shared" si="131"/>
        <v>3970</v>
      </c>
      <c r="AI97" s="2">
        <f t="shared" si="131"/>
        <v>29162</v>
      </c>
      <c r="AJ97" s="2">
        <f t="shared" si="131"/>
        <v>9.27412429392413</v>
      </c>
      <c r="AK97" s="2">
        <f t="shared" si="131"/>
        <v>25217</v>
      </c>
      <c r="AL97" s="2">
        <f t="shared" si="131"/>
        <v>3515</v>
      </c>
      <c r="AM97" s="2">
        <f t="shared" si="131"/>
        <v>28732</v>
      </c>
      <c r="AN97" s="2">
        <f t="shared" si="131"/>
        <v>7.6616766111358228</v>
      </c>
      <c r="AO97" s="2">
        <f t="shared" si="131"/>
        <v>24166</v>
      </c>
      <c r="AP97" s="2">
        <f t="shared" si="131"/>
        <v>3333</v>
      </c>
      <c r="AQ97" s="2">
        <f t="shared" si="131"/>
        <v>27499</v>
      </c>
      <c r="AR97" s="18">
        <f t="shared" si="132"/>
        <v>0.12120440743299757</v>
      </c>
      <c r="AS97" s="34">
        <f t="shared" si="133"/>
        <v>29018.666666666664</v>
      </c>
      <c r="AT97" s="34">
        <f t="shared" si="134"/>
        <v>28321</v>
      </c>
      <c r="AU97" s="34">
        <f t="shared" si="135"/>
        <v>5.1481858765682142</v>
      </c>
      <c r="AV97" s="34">
        <f t="shared" si="136"/>
        <v>25783.555555555555</v>
      </c>
      <c r="AW97" s="34">
        <f t="shared" si="137"/>
        <v>11662.333333333334</v>
      </c>
      <c r="AX97" s="34">
        <f t="shared" si="138"/>
        <v>18334.382728625525</v>
      </c>
      <c r="AY97" s="34">
        <f t="shared" si="139"/>
        <v>8594.5993214568061</v>
      </c>
      <c r="AZ97" s="2">
        <f t="shared" si="158"/>
        <v>621.93052135914922</v>
      </c>
      <c r="BA97" s="2">
        <f t="shared" si="159"/>
        <v>481.41884706395876</v>
      </c>
      <c r="BB97" s="2">
        <f t="shared" si="160"/>
        <v>32.587629370749859</v>
      </c>
      <c r="BC97" s="2">
        <f t="shared" si="161"/>
        <v>107.92404492444061</v>
      </c>
      <c r="BD97" s="2">
        <f t="shared" si="162"/>
        <v>649.15687723923952</v>
      </c>
      <c r="BE97" s="2">
        <f t="shared" si="163"/>
        <v>504.31868110236218</v>
      </c>
      <c r="BF97" s="2">
        <f t="shared" si="164"/>
        <v>34.8558722326189</v>
      </c>
      <c r="BG97" s="2">
        <f t="shared" si="165"/>
        <v>109.98232390425844</v>
      </c>
      <c r="BH97" s="2">
        <f t="shared" si="166"/>
        <v>487.6526300746919</v>
      </c>
      <c r="BI97" s="2">
        <f t="shared" si="167"/>
        <v>65.356503040108791</v>
      </c>
      <c r="BJ97" s="2">
        <f t="shared" si="147"/>
        <v>25.179968841894873</v>
      </c>
      <c r="BK97" s="2">
        <f t="shared" si="148"/>
        <v>43.741419402453658</v>
      </c>
      <c r="BL97" s="2">
        <f t="shared" si="168"/>
        <v>511.61475711043704</v>
      </c>
      <c r="BM97" s="20">
        <f t="shared" si="169"/>
        <v>71.956422148505126</v>
      </c>
      <c r="BN97" s="20">
        <f t="shared" si="150"/>
        <v>25.269969545566898</v>
      </c>
      <c r="BO97" s="2">
        <f t="shared" si="151"/>
        <v>40.31572843473046</v>
      </c>
      <c r="BP97" s="18">
        <f t="shared" si="152"/>
        <v>0.77407175002744644</v>
      </c>
      <c r="BQ97" s="18">
        <f t="shared" si="153"/>
        <v>0.77688259769679857</v>
      </c>
      <c r="BR97" s="18">
        <f t="shared" si="154"/>
        <v>0.10508650210200418</v>
      </c>
      <c r="BS97" s="18">
        <f t="shared" si="155"/>
        <v>0.1108459675487446</v>
      </c>
      <c r="BT97" s="27">
        <f>BD97/Kool!BJ97</f>
        <v>1.2244028577691277</v>
      </c>
      <c r="BW97" s="27">
        <f t="shared" si="156"/>
        <v>1.5827457676750543</v>
      </c>
      <c r="BX97" s="27">
        <f t="shared" si="157"/>
        <v>3.2952088795222068</v>
      </c>
    </row>
    <row r="98" spans="1:76" x14ac:dyDescent="0.35">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BP98" s="18"/>
      <c r="BQ98" s="18"/>
      <c r="BR98" s="18"/>
      <c r="BS98" s="18"/>
    </row>
    <row r="99" spans="1:76" x14ac:dyDescent="0.35">
      <c r="A99" s="1" t="s">
        <v>230</v>
      </c>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BP99" s="18"/>
      <c r="BQ99" s="18"/>
      <c r="BR99" s="18"/>
      <c r="BS99" s="18"/>
    </row>
    <row r="100" spans="1:76" x14ac:dyDescent="0.35">
      <c r="A100" t="s">
        <v>239</v>
      </c>
      <c r="B100" s="2">
        <f>COUNTIF($CC$4:$CC$82,"&gt;=16000")</f>
        <v>12</v>
      </c>
      <c r="C100" s="2">
        <f t="shared" ref="C100:AQ100" si="170">SUMIF($CC$4:$CC$82,"&gt;16000",C$4:C$82)</f>
        <v>9781105.6400000006</v>
      </c>
      <c r="D100" s="2">
        <f t="shared" si="170"/>
        <v>122518.37000000001</v>
      </c>
      <c r="E100" s="2">
        <f t="shared" si="170"/>
        <v>71105422.027482465</v>
      </c>
      <c r="F100" s="2">
        <f t="shared" si="170"/>
        <v>21169657.449999999</v>
      </c>
      <c r="G100" s="2">
        <f t="shared" si="170"/>
        <v>2162975.5500000003</v>
      </c>
      <c r="H100" s="2">
        <f t="shared" si="170"/>
        <v>228885245.40000001</v>
      </c>
      <c r="I100" s="2">
        <f t="shared" si="170"/>
        <v>11684200.890000002</v>
      </c>
      <c r="J100" s="2">
        <f t="shared" si="170"/>
        <v>541904.96273271053</v>
      </c>
      <c r="K100" s="2">
        <f t="shared" si="170"/>
        <v>300950739.84021527</v>
      </c>
      <c r="L100" s="2">
        <f t="shared" si="170"/>
        <v>10616553.359999999</v>
      </c>
      <c r="M100" s="2">
        <f t="shared" si="170"/>
        <v>1145009.8399999999</v>
      </c>
      <c r="N100" s="2">
        <f t="shared" si="170"/>
        <v>69144040.564011946</v>
      </c>
      <c r="O100" s="2">
        <f t="shared" si="170"/>
        <v>19520822.990000002</v>
      </c>
      <c r="P100" s="2">
        <f t="shared" si="170"/>
        <v>2439870.0699999998</v>
      </c>
      <c r="Q100" s="2">
        <f t="shared" si="170"/>
        <v>228843502.21000001</v>
      </c>
      <c r="R100" s="2">
        <f t="shared" si="170"/>
        <v>12942344.25</v>
      </c>
      <c r="S100" s="2">
        <f t="shared" si="170"/>
        <v>561393.3071042964</v>
      </c>
      <c r="T100" s="2">
        <f t="shared" si="170"/>
        <v>303732020.5411163</v>
      </c>
      <c r="U100" s="2">
        <f t="shared" si="170"/>
        <v>48627269.657482468</v>
      </c>
      <c r="V100" s="2">
        <f t="shared" si="170"/>
        <v>24864448.909999996</v>
      </c>
      <c r="W100" s="2">
        <f t="shared" si="170"/>
        <v>7977909.7474824684</v>
      </c>
      <c r="X100" s="2">
        <f t="shared" si="170"/>
        <v>238220.52</v>
      </c>
      <c r="Y100" s="2">
        <f t="shared" si="170"/>
        <v>7504709.0600000005</v>
      </c>
      <c r="Z100" s="2">
        <f t="shared" si="170"/>
        <v>8653856</v>
      </c>
      <c r="AA100" s="2">
        <f t="shared" si="170"/>
        <v>43611221.854011923</v>
      </c>
      <c r="AB100" s="2">
        <f t="shared" si="170"/>
        <v>22940657.899999999</v>
      </c>
      <c r="AC100" s="2">
        <f t="shared" si="170"/>
        <v>8820298.2340119258</v>
      </c>
      <c r="AD100" s="2">
        <f t="shared" si="170"/>
        <v>257036.99</v>
      </c>
      <c r="AE100" s="2">
        <f t="shared" si="170"/>
        <v>7009901.290000001</v>
      </c>
      <c r="AF100" s="2">
        <f t="shared" si="170"/>
        <v>8606246</v>
      </c>
      <c r="AG100" s="2">
        <f t="shared" si="170"/>
        <v>38305</v>
      </c>
      <c r="AH100" s="2">
        <f t="shared" si="170"/>
        <v>1236</v>
      </c>
      <c r="AI100" s="2">
        <f t="shared" si="170"/>
        <v>39541</v>
      </c>
      <c r="AJ100" s="2">
        <f t="shared" si="170"/>
        <v>0.63871682890552139</v>
      </c>
      <c r="AK100" s="2">
        <f t="shared" si="170"/>
        <v>36961</v>
      </c>
      <c r="AL100" s="2">
        <f t="shared" si="170"/>
        <v>1206</v>
      </c>
      <c r="AM100" s="2">
        <f t="shared" si="170"/>
        <v>38167</v>
      </c>
      <c r="AN100" s="2">
        <f t="shared" si="170"/>
        <v>0.6153958579162393</v>
      </c>
      <c r="AO100" s="2">
        <f t="shared" si="170"/>
        <v>35151</v>
      </c>
      <c r="AP100" s="2">
        <f t="shared" si="170"/>
        <v>1185</v>
      </c>
      <c r="AQ100" s="2">
        <f t="shared" si="170"/>
        <v>36336</v>
      </c>
      <c r="AR100" s="18">
        <f t="shared" ref="AR100:AR103" si="171">AP100/AQ100</f>
        <v>3.2612285336856013E-2</v>
      </c>
      <c r="AS100" s="2">
        <f t="shared" ref="AS100:AY100" si="172">SUMIF($CC$4:$CC$82,"&gt;16000",AS$4:AS$82)</f>
        <v>39082.999999999993</v>
      </c>
      <c r="AT100" s="2">
        <f t="shared" si="172"/>
        <v>37556.666666666664</v>
      </c>
      <c r="AU100" s="2">
        <f t="shared" si="172"/>
        <v>2167</v>
      </c>
      <c r="AV100" s="2">
        <f t="shared" si="172"/>
        <v>2143</v>
      </c>
      <c r="AW100" s="2">
        <f t="shared" si="172"/>
        <v>2132</v>
      </c>
      <c r="AX100" s="2">
        <f t="shared" si="172"/>
        <v>2159</v>
      </c>
      <c r="AY100" s="2">
        <f t="shared" si="172"/>
        <v>2139.333333333333</v>
      </c>
      <c r="AZ100" s="2">
        <f t="shared" ref="AZ100:AZ102" si="173">K100/AS100/12</f>
        <v>641.69148530097334</v>
      </c>
      <c r="BA100" s="2">
        <f t="shared" ref="BA100:BA102" si="174">H100/AS100/12</f>
        <v>488.03240411432085</v>
      </c>
      <c r="BB100" s="2">
        <f t="shared" ref="BB100:BB102" si="175">(G100+I100)/AS100/12</f>
        <v>29.525148274185721</v>
      </c>
      <c r="BC100" s="2">
        <f t="shared" ref="BC100:BC102" si="176">AZ100-BA100-BB100</f>
        <v>124.13393291246676</v>
      </c>
      <c r="BD100" s="2">
        <f>T100/AT100/12</f>
        <v>673.94164493901724</v>
      </c>
      <c r="BE100" s="2">
        <f>Q100/AT100/12</f>
        <v>507.77381337090623</v>
      </c>
      <c r="BF100" s="2">
        <f>(R100+P100)/AT100/12</f>
        <v>34.131122570338157</v>
      </c>
      <c r="BG100" s="2">
        <f t="shared" ref="BG100:BG102" si="177">BD100-BE100-BF100</f>
        <v>132.03670899777285</v>
      </c>
      <c r="BH100" s="2">
        <f t="shared" ref="BH100:BH102" si="178">(K100-U100-Z100)/AS100/12</f>
        <v>519.55584734780859</v>
      </c>
      <c r="BI100" s="2">
        <f t="shared" ref="BI100:BI102" si="179">(V100+W100+X100)/AS100/12</f>
        <v>70.534885537365923</v>
      </c>
      <c r="BJ100" s="2">
        <f t="shared" ref="BJ100:BJ103" si="180">Y100/AS100/12</f>
        <v>16.001648329623283</v>
      </c>
      <c r="BK100" s="2">
        <f t="shared" ref="BK100:BK103" si="181">AZ100-BH100-BI100-BJ100</f>
        <v>35.599104086175544</v>
      </c>
      <c r="BL100" s="2">
        <f>(T100-AA100-AF100)/AT100/12</f>
        <v>558.07791046220018</v>
      </c>
      <c r="BM100" s="20">
        <f t="shared" ref="BM100:BM102" si="182">(AB100+AC100+AD100)/AT100/12</f>
        <v>71.043740844971879</v>
      </c>
      <c r="BN100" s="20">
        <f t="shared" ref="BN100:BN102" si="183">AE100/AT100/12</f>
        <v>15.554054517617827</v>
      </c>
      <c r="BO100" s="2">
        <f t="shared" ref="BO100:BO102" si="184">BD100-BL100-BM100-BN100</f>
        <v>29.265939114227351</v>
      </c>
      <c r="BP100" s="18">
        <f t="shared" ref="BP100:BP102" si="185">BA100/AZ100</f>
        <v>0.76054056395250191</v>
      </c>
      <c r="BQ100" s="18">
        <f t="shared" ref="BQ100:BQ102" si="186">BE100/BD100</f>
        <v>0.75343884323523735</v>
      </c>
      <c r="BR100" s="18">
        <f t="shared" ref="BR100:BR102" si="187">BI100/AZ100</f>
        <v>0.10992024540310498</v>
      </c>
      <c r="BS100" s="18">
        <f t="shared" ref="BS100:BS102" si="188">BM100/BD100</f>
        <v>0.1054152705630773</v>
      </c>
      <c r="BT100" s="27">
        <f>BD100/Kool!BJ100</f>
        <v>1.508744732118888</v>
      </c>
      <c r="BW100" s="27">
        <f t="shared" ref="BW100" si="189">AS100/AX100</f>
        <v>18.102362204724407</v>
      </c>
      <c r="BX100" s="27">
        <f t="shared" ref="BX100" si="190">AT100/AY100</f>
        <v>17.555313181676535</v>
      </c>
    </row>
    <row r="101" spans="1:76" x14ac:dyDescent="0.35">
      <c r="A101" t="s">
        <v>238</v>
      </c>
      <c r="B101" s="2">
        <f>COUNTIF($CC$4:$CC$82,"&gt;=8000")-B100</f>
        <v>24</v>
      </c>
      <c r="C101" s="2">
        <f t="shared" ref="C101:AQ101" si="191">SUMIF($CC$4:$CC$82,"&gt;=8000",C$4:C$82)-C100</f>
        <v>3134181.6000000015</v>
      </c>
      <c r="D101" s="2">
        <f t="shared" si="191"/>
        <v>76316.569999999963</v>
      </c>
      <c r="E101" s="2">
        <f t="shared" si="191"/>
        <v>27346298.441781208</v>
      </c>
      <c r="F101" s="2">
        <f t="shared" si="191"/>
        <v>10987661.940000001</v>
      </c>
      <c r="G101" s="2">
        <f t="shared" si="191"/>
        <v>1455661.9099999997</v>
      </c>
      <c r="H101" s="2">
        <f t="shared" si="191"/>
        <v>84482908.710000008</v>
      </c>
      <c r="I101" s="2">
        <f t="shared" si="191"/>
        <v>4515600.089999998</v>
      </c>
      <c r="J101" s="2">
        <f t="shared" si="191"/>
        <v>430616.6545571984</v>
      </c>
      <c r="K101" s="2">
        <f t="shared" si="191"/>
        <v>108998260.1263383</v>
      </c>
      <c r="L101" s="2">
        <f t="shared" si="191"/>
        <v>3411984.3099999968</v>
      </c>
      <c r="M101" s="2">
        <f t="shared" si="191"/>
        <v>86284.669999999925</v>
      </c>
      <c r="N101" s="2">
        <f t="shared" si="191"/>
        <v>27171811.010013744</v>
      </c>
      <c r="O101" s="2">
        <f t="shared" si="191"/>
        <v>10482090.099999998</v>
      </c>
      <c r="P101" s="2">
        <f t="shared" si="191"/>
        <v>1374156.6399999992</v>
      </c>
      <c r="Q101" s="2">
        <f t="shared" si="191"/>
        <v>87258015.020000011</v>
      </c>
      <c r="R101" s="2">
        <f t="shared" si="191"/>
        <v>4992277.4399999976</v>
      </c>
      <c r="S101" s="2">
        <f t="shared" si="191"/>
        <v>309471.08615206205</v>
      </c>
      <c r="T101" s="2">
        <f t="shared" si="191"/>
        <v>112747753.43616575</v>
      </c>
      <c r="U101" s="2">
        <f t="shared" si="191"/>
        <v>17586198.101781197</v>
      </c>
      <c r="V101" s="2">
        <f t="shared" si="191"/>
        <v>7801573.8600000069</v>
      </c>
      <c r="W101" s="2">
        <f t="shared" si="191"/>
        <v>3874111.941781207</v>
      </c>
      <c r="X101" s="2">
        <f t="shared" si="191"/>
        <v>60830.879999999976</v>
      </c>
      <c r="Y101" s="2">
        <f t="shared" si="191"/>
        <v>4244874.5500000007</v>
      </c>
      <c r="Z101" s="2">
        <f t="shared" si="191"/>
        <v>4179527</v>
      </c>
      <c r="AA101" s="2">
        <f t="shared" si="191"/>
        <v>18266844.950013772</v>
      </c>
      <c r="AB101" s="2">
        <f t="shared" si="191"/>
        <v>8540159.0600000061</v>
      </c>
      <c r="AC101" s="2">
        <f t="shared" si="191"/>
        <v>3977558.0600137617</v>
      </c>
      <c r="AD101" s="2">
        <f t="shared" si="191"/>
        <v>62780.780000000028</v>
      </c>
      <c r="AE101" s="2">
        <f t="shared" si="191"/>
        <v>4265534.1099999994</v>
      </c>
      <c r="AF101" s="2">
        <f t="shared" si="191"/>
        <v>4189187</v>
      </c>
      <c r="AG101" s="2">
        <f t="shared" si="191"/>
        <v>12755</v>
      </c>
      <c r="AH101" s="2">
        <f t="shared" si="191"/>
        <v>2042</v>
      </c>
      <c r="AI101" s="2">
        <f t="shared" si="191"/>
        <v>14797</v>
      </c>
      <c r="AJ101" s="2">
        <f t="shared" si="191"/>
        <v>3.1920787138382662</v>
      </c>
      <c r="AK101" s="2">
        <f t="shared" si="191"/>
        <v>12630</v>
      </c>
      <c r="AL101" s="2">
        <f t="shared" si="191"/>
        <v>1940</v>
      </c>
      <c r="AM101" s="2">
        <f t="shared" si="191"/>
        <v>14570</v>
      </c>
      <c r="AN101" s="2">
        <f t="shared" si="191"/>
        <v>3.0365024272352565</v>
      </c>
      <c r="AO101" s="2">
        <f t="shared" si="191"/>
        <v>12082</v>
      </c>
      <c r="AP101" s="2">
        <f t="shared" si="191"/>
        <v>1930</v>
      </c>
      <c r="AQ101" s="2">
        <f t="shared" si="191"/>
        <v>14012</v>
      </c>
      <c r="AR101" s="18">
        <f t="shared" si="171"/>
        <v>0.1377390807878961</v>
      </c>
      <c r="AS101" s="2">
        <f t="shared" ref="AS101:AY101" si="192">SUMIF($CC$4:$CC$82,"&gt;=8000",AS$4:AS$82)-AS100</f>
        <v>14721.33333333335</v>
      </c>
      <c r="AT101" s="2">
        <f t="shared" si="192"/>
        <v>14384</v>
      </c>
      <c r="AU101" s="2">
        <f t="shared" si="192"/>
        <v>868</v>
      </c>
      <c r="AV101" s="2">
        <f t="shared" si="192"/>
        <v>870</v>
      </c>
      <c r="AW101" s="2">
        <f t="shared" si="192"/>
        <v>876</v>
      </c>
      <c r="AX101" s="2">
        <f t="shared" si="192"/>
        <v>868.66666666666697</v>
      </c>
      <c r="AY101" s="2">
        <f t="shared" si="192"/>
        <v>872.00000000000091</v>
      </c>
      <c r="AZ101" s="2">
        <f t="shared" si="173"/>
        <v>617.00853707962472</v>
      </c>
      <c r="BA101" s="2">
        <f t="shared" si="174"/>
        <v>478.23401814826502</v>
      </c>
      <c r="BB101" s="2">
        <f t="shared" si="175"/>
        <v>33.80163707997459</v>
      </c>
      <c r="BC101" s="2">
        <f t="shared" si="176"/>
        <v>104.9728818513851</v>
      </c>
      <c r="BD101" s="2">
        <f t="shared" ref="BD101:BD102" si="193">T101/AT101/12</f>
        <v>653.20120409347044</v>
      </c>
      <c r="BE101" s="2">
        <f t="shared" ref="BE101:BE102" si="194">Q101/AT101/12</f>
        <v>505.52706143400081</v>
      </c>
      <c r="BF101" s="2">
        <f t="shared" ref="BF101:BF102" si="195">(R101+P101)/AT101/12</f>
        <v>36.883771783463082</v>
      </c>
      <c r="BG101" s="2">
        <f t="shared" si="177"/>
        <v>110.79037087600653</v>
      </c>
      <c r="BH101" s="2">
        <f t="shared" si="178"/>
        <v>493.79888044876492</v>
      </c>
      <c r="BI101" s="2">
        <f t="shared" si="179"/>
        <v>66.437124591189672</v>
      </c>
      <c r="BJ101" s="2">
        <f t="shared" si="180"/>
        <v>24.029042602572208</v>
      </c>
      <c r="BK101" s="2">
        <f t="shared" si="181"/>
        <v>32.743489437097921</v>
      </c>
      <c r="BL101" s="2">
        <f t="shared" ref="BL101:BL102" si="196">(T101-AA101-AF101)/AT101/12</f>
        <v>523.10276166893755</v>
      </c>
      <c r="BM101" s="20">
        <f t="shared" si="182"/>
        <v>72.884790392182097</v>
      </c>
      <c r="BN101" s="20">
        <f t="shared" si="183"/>
        <v>24.712261946143858</v>
      </c>
      <c r="BO101" s="2">
        <f t="shared" si="184"/>
        <v>32.501390086206939</v>
      </c>
      <c r="BP101" s="18">
        <f t="shared" si="185"/>
        <v>0.77508492898948189</v>
      </c>
      <c r="BQ101" s="18">
        <f t="shared" si="186"/>
        <v>0.7739224273714933</v>
      </c>
      <c r="BR101" s="18">
        <f t="shared" si="187"/>
        <v>0.10767618371318578</v>
      </c>
      <c r="BS101" s="18">
        <f t="shared" si="188"/>
        <v>0.1115809186134822</v>
      </c>
      <c r="BT101" s="27">
        <f>BD101/Kool!BJ101</f>
        <v>1.2242491293755868</v>
      </c>
      <c r="BW101" s="27">
        <f t="shared" ref="BW101:BW103" si="197">AS101/AX101</f>
        <v>16.947045280122808</v>
      </c>
      <c r="BX101" s="27">
        <f t="shared" ref="BX101:BX103" si="198">AT101/AY101</f>
        <v>16.495412844036679</v>
      </c>
    </row>
    <row r="102" spans="1:76" x14ac:dyDescent="0.35">
      <c r="A102" t="s">
        <v>240</v>
      </c>
      <c r="B102" s="2">
        <f>COUNTIF($CC$4:$CC$82,"&lt;=8000")-B103</f>
        <v>37</v>
      </c>
      <c r="C102" s="2">
        <f t="shared" ref="C102:AQ102" si="199">SUMIF($CC$4:$CC$82,"&lt;8000",C$4:C$82)-C103</f>
        <v>2323661.34</v>
      </c>
      <c r="D102" s="2">
        <f t="shared" si="199"/>
        <v>38097.599999999999</v>
      </c>
      <c r="E102" s="2">
        <f t="shared" si="199"/>
        <v>18185776.637840111</v>
      </c>
      <c r="F102" s="2">
        <f t="shared" si="199"/>
        <v>6048567.9100000001</v>
      </c>
      <c r="G102" s="2">
        <f t="shared" si="199"/>
        <v>884932.4800000001</v>
      </c>
      <c r="H102" s="2">
        <f t="shared" si="199"/>
        <v>62574950.399999991</v>
      </c>
      <c r="I102" s="2">
        <f t="shared" si="199"/>
        <v>3454050.790000001</v>
      </c>
      <c r="J102" s="2">
        <f t="shared" si="199"/>
        <v>1744214.54311279</v>
      </c>
      <c r="K102" s="2">
        <f t="shared" si="199"/>
        <v>82272183.40095292</v>
      </c>
      <c r="L102" s="2">
        <f t="shared" si="199"/>
        <v>2561633.0100000012</v>
      </c>
      <c r="M102" s="2">
        <f t="shared" si="199"/>
        <v>29881.370000000006</v>
      </c>
      <c r="N102" s="2">
        <f t="shared" si="199"/>
        <v>18480714.663147766</v>
      </c>
      <c r="O102" s="2">
        <f t="shared" si="199"/>
        <v>5583218.46</v>
      </c>
      <c r="P102" s="2">
        <f t="shared" si="199"/>
        <v>990704.93000000017</v>
      </c>
      <c r="Q102" s="2">
        <f t="shared" si="199"/>
        <v>65898818.970000014</v>
      </c>
      <c r="R102" s="2">
        <f t="shared" si="199"/>
        <v>3835948.39</v>
      </c>
      <c r="S102" s="2">
        <f t="shared" si="199"/>
        <v>611903.31612698664</v>
      </c>
      <c r="T102" s="2">
        <f t="shared" si="199"/>
        <v>85835681.259274766</v>
      </c>
      <c r="U102" s="2">
        <f t="shared" si="199"/>
        <v>12271021.117840113</v>
      </c>
      <c r="V102" s="2">
        <f t="shared" si="199"/>
        <v>5098655.1500000013</v>
      </c>
      <c r="W102" s="2">
        <f t="shared" si="199"/>
        <v>2805525.3278401117</v>
      </c>
      <c r="X102" s="2">
        <f t="shared" si="199"/>
        <v>4358</v>
      </c>
      <c r="Y102" s="2">
        <f t="shared" si="199"/>
        <v>2957833.4300000006</v>
      </c>
      <c r="Z102" s="2">
        <f t="shared" si="199"/>
        <v>3080374</v>
      </c>
      <c r="AA102" s="2">
        <f t="shared" si="199"/>
        <v>13164021.50314777</v>
      </c>
      <c r="AB102" s="2">
        <f t="shared" si="199"/>
        <v>5740192.6499999976</v>
      </c>
      <c r="AC102" s="2">
        <f t="shared" si="199"/>
        <v>3083191.4831477702</v>
      </c>
      <c r="AD102" s="2">
        <f t="shared" si="199"/>
        <v>0</v>
      </c>
      <c r="AE102" s="2">
        <f t="shared" si="199"/>
        <v>3114066.4699999993</v>
      </c>
      <c r="AF102" s="2">
        <f t="shared" si="199"/>
        <v>3118900</v>
      </c>
      <c r="AG102" s="2">
        <f t="shared" si="199"/>
        <v>8506</v>
      </c>
      <c r="AH102" s="2">
        <f t="shared" si="199"/>
        <v>2074</v>
      </c>
      <c r="AI102" s="2">
        <f t="shared" si="199"/>
        <v>10580</v>
      </c>
      <c r="AJ102" s="2">
        <f t="shared" si="199"/>
        <v>7.3385863109050664</v>
      </c>
      <c r="AK102" s="2">
        <f t="shared" si="199"/>
        <v>9017</v>
      </c>
      <c r="AL102" s="2">
        <f t="shared" si="199"/>
        <v>1762</v>
      </c>
      <c r="AM102" s="2">
        <f t="shared" si="199"/>
        <v>10779</v>
      </c>
      <c r="AN102" s="2">
        <f t="shared" si="199"/>
        <v>6.2576546090133576</v>
      </c>
      <c r="AO102" s="2">
        <f t="shared" si="199"/>
        <v>8830</v>
      </c>
      <c r="AP102" s="2">
        <f t="shared" si="199"/>
        <v>1589</v>
      </c>
      <c r="AQ102" s="2">
        <f t="shared" si="199"/>
        <v>10419</v>
      </c>
      <c r="AR102" s="18">
        <f t="shared" si="171"/>
        <v>0.15250983779633362</v>
      </c>
      <c r="AS102" s="2">
        <f t="shared" ref="AS102:AY102" si="200">SUMIF($CC$4:$CC$82,"&lt;8000",AS$4:AS$82)-AS103</f>
        <v>10646.333333333334</v>
      </c>
      <c r="AT102" s="2">
        <f t="shared" si="200"/>
        <v>10658.999999999996</v>
      </c>
      <c r="AU102" s="2">
        <f t="shared" si="200"/>
        <v>636</v>
      </c>
      <c r="AV102" s="2">
        <f t="shared" si="200"/>
        <v>660</v>
      </c>
      <c r="AW102" s="2">
        <f t="shared" si="200"/>
        <v>666</v>
      </c>
      <c r="AX102" s="2">
        <f t="shared" si="200"/>
        <v>644</v>
      </c>
      <c r="AY102" s="2">
        <f t="shared" si="200"/>
        <v>661.99999999999989</v>
      </c>
      <c r="AZ102" s="2">
        <f t="shared" si="173"/>
        <v>643.97901782266911</v>
      </c>
      <c r="BA102" s="2">
        <f t="shared" si="174"/>
        <v>489.8004821691348</v>
      </c>
      <c r="BB102" s="2">
        <f t="shared" si="175"/>
        <v>33.963048858762022</v>
      </c>
      <c r="BC102" s="2">
        <f t="shared" si="176"/>
        <v>120.21548679477229</v>
      </c>
      <c r="BD102" s="2">
        <f t="shared" si="193"/>
        <v>671.07359398376013</v>
      </c>
      <c r="BE102" s="2">
        <f t="shared" si="194"/>
        <v>515.20482667229601</v>
      </c>
      <c r="BF102" s="2">
        <f t="shared" si="195"/>
        <v>37.735351346280154</v>
      </c>
      <c r="BG102" s="2">
        <f t="shared" si="177"/>
        <v>118.13341596518397</v>
      </c>
      <c r="BH102" s="2">
        <f t="shared" si="178"/>
        <v>523.81718497066913</v>
      </c>
      <c r="BI102" s="2">
        <f t="shared" si="179"/>
        <v>61.903460329378753</v>
      </c>
      <c r="BJ102" s="2">
        <f t="shared" si="180"/>
        <v>23.152207567550647</v>
      </c>
      <c r="BK102" s="2">
        <f t="shared" si="181"/>
        <v>35.106164955070575</v>
      </c>
      <c r="BL102" s="2">
        <f t="shared" si="196"/>
        <v>543.77177155554796</v>
      </c>
      <c r="BM102" s="20">
        <f t="shared" si="182"/>
        <v>68.98226954645348</v>
      </c>
      <c r="BN102" s="20">
        <f t="shared" si="183"/>
        <v>24.346143087218945</v>
      </c>
      <c r="BO102" s="2">
        <f t="shared" si="184"/>
        <v>33.973409794539748</v>
      </c>
      <c r="BP102" s="18">
        <f t="shared" si="185"/>
        <v>0.76058453554151351</v>
      </c>
      <c r="BQ102" s="18">
        <f t="shared" si="186"/>
        <v>0.76773222980483402</v>
      </c>
      <c r="BR102" s="18">
        <f t="shared" si="187"/>
        <v>9.6126517504682041E-2</v>
      </c>
      <c r="BS102" s="18">
        <f t="shared" si="188"/>
        <v>0.10279389647407709</v>
      </c>
      <c r="BT102" s="27">
        <f>BD102/Kool!BJ102</f>
        <v>1.1369827020887981</v>
      </c>
      <c r="BW102" s="27">
        <f t="shared" si="197"/>
        <v>16.531573498964804</v>
      </c>
      <c r="BX102" s="27">
        <f t="shared" si="198"/>
        <v>16.101208459214497</v>
      </c>
    </row>
    <row r="103" spans="1:76" x14ac:dyDescent="0.35">
      <c r="A103" t="s">
        <v>241</v>
      </c>
      <c r="B103" s="2">
        <f>COUNTIF($CC$4:$CC$82,"&lt;=4000")</f>
        <v>6</v>
      </c>
      <c r="C103" s="2">
        <f t="shared" ref="C103:AQ103" si="201">SUMIF($CC$4:$CC$82,"&lt;4000",C$4:C$82)</f>
        <v>49217.960000000006</v>
      </c>
      <c r="D103" s="2">
        <f t="shared" si="201"/>
        <v>174.45</v>
      </c>
      <c r="E103" s="2">
        <f t="shared" si="201"/>
        <v>407916</v>
      </c>
      <c r="F103" s="2">
        <f t="shared" si="201"/>
        <v>109542.75</v>
      </c>
      <c r="G103" s="2">
        <f t="shared" si="201"/>
        <v>0</v>
      </c>
      <c r="H103" s="2">
        <f t="shared" si="201"/>
        <v>1764009.8200000003</v>
      </c>
      <c r="I103" s="2">
        <f t="shared" si="201"/>
        <v>120103.65</v>
      </c>
      <c r="J103" s="2">
        <f t="shared" si="201"/>
        <v>239302.67183850723</v>
      </c>
      <c r="K103" s="2">
        <f t="shared" si="201"/>
        <v>2471181.8018385074</v>
      </c>
      <c r="L103" s="2">
        <f t="shared" si="201"/>
        <v>52075.479999999996</v>
      </c>
      <c r="M103" s="2">
        <f t="shared" si="201"/>
        <v>213.05</v>
      </c>
      <c r="N103" s="2">
        <f t="shared" si="201"/>
        <v>433250.67</v>
      </c>
      <c r="O103" s="2">
        <f t="shared" si="201"/>
        <v>127754.35999999999</v>
      </c>
      <c r="P103" s="2">
        <f t="shared" si="201"/>
        <v>242.34</v>
      </c>
      <c r="Q103" s="2">
        <f t="shared" si="201"/>
        <v>1784629.6900000002</v>
      </c>
      <c r="R103" s="2">
        <f t="shared" si="201"/>
        <v>114438.41</v>
      </c>
      <c r="S103" s="2">
        <f t="shared" si="201"/>
        <v>8242.2148997260265</v>
      </c>
      <c r="T103" s="2">
        <f t="shared" si="201"/>
        <v>2265095.1548997262</v>
      </c>
      <c r="U103" s="2">
        <f t="shared" si="201"/>
        <v>445875.59999999992</v>
      </c>
      <c r="V103" s="2">
        <f t="shared" si="201"/>
        <v>97340.53</v>
      </c>
      <c r="W103" s="2">
        <f t="shared" si="201"/>
        <v>56157.599999999999</v>
      </c>
      <c r="X103" s="2">
        <f t="shared" si="201"/>
        <v>0</v>
      </c>
      <c r="Y103" s="2">
        <f t="shared" si="201"/>
        <v>250091.78</v>
      </c>
      <c r="Z103" s="2">
        <f t="shared" si="201"/>
        <v>86243</v>
      </c>
      <c r="AA103" s="2">
        <f t="shared" si="201"/>
        <v>408496.27999999997</v>
      </c>
      <c r="AB103" s="2">
        <f t="shared" si="201"/>
        <v>93401.65</v>
      </c>
      <c r="AC103" s="2">
        <f t="shared" si="201"/>
        <v>51722.590000000004</v>
      </c>
      <c r="AD103" s="2">
        <f t="shared" si="201"/>
        <v>0</v>
      </c>
      <c r="AE103" s="2">
        <f t="shared" si="201"/>
        <v>234974</v>
      </c>
      <c r="AF103" s="2">
        <f t="shared" si="201"/>
        <v>85667</v>
      </c>
      <c r="AG103" s="2">
        <f t="shared" si="201"/>
        <v>210</v>
      </c>
      <c r="AH103" s="2">
        <f t="shared" si="201"/>
        <v>73</v>
      </c>
      <c r="AI103" s="2">
        <f t="shared" si="201"/>
        <v>283</v>
      </c>
      <c r="AJ103" s="2">
        <f t="shared" si="201"/>
        <v>2.4396551724137931</v>
      </c>
      <c r="AK103" s="2">
        <f t="shared" si="201"/>
        <v>243</v>
      </c>
      <c r="AL103" s="2">
        <f t="shared" si="201"/>
        <v>21</v>
      </c>
      <c r="AM103" s="2">
        <f t="shared" si="201"/>
        <v>264</v>
      </c>
      <c r="AN103" s="2">
        <f t="shared" si="201"/>
        <v>2</v>
      </c>
      <c r="AO103" s="2">
        <f t="shared" si="201"/>
        <v>228</v>
      </c>
      <c r="AP103" s="2">
        <f t="shared" si="201"/>
        <v>18</v>
      </c>
      <c r="AQ103" s="2">
        <f t="shared" si="201"/>
        <v>246</v>
      </c>
      <c r="AR103" s="18">
        <f t="shared" si="171"/>
        <v>7.3170731707317069E-2</v>
      </c>
      <c r="AS103" s="2">
        <f t="shared" ref="AS103:AY103" si="202">SUMIF($CC$4:$CC$82,"&lt;4000",AS$4:AS$82)</f>
        <v>276.66666666666663</v>
      </c>
      <c r="AT103" s="2">
        <f t="shared" si="202"/>
        <v>258</v>
      </c>
      <c r="AU103" s="2">
        <f t="shared" si="202"/>
        <v>19</v>
      </c>
      <c r="AV103" s="2">
        <f t="shared" si="202"/>
        <v>18</v>
      </c>
      <c r="AW103" s="2">
        <f t="shared" si="202"/>
        <v>19</v>
      </c>
      <c r="AX103" s="2">
        <f t="shared" si="202"/>
        <v>18.666666666666668</v>
      </c>
      <c r="AY103" s="2">
        <f t="shared" si="202"/>
        <v>18.333333333333336</v>
      </c>
      <c r="AZ103" s="2">
        <f t="shared" ref="AZ103" si="203">K103/AS103/12</f>
        <v>744.33186802364696</v>
      </c>
      <c r="BA103" s="2">
        <f t="shared" ref="BA103" si="204">H103/AS103/12</f>
        <v>531.32825903614469</v>
      </c>
      <c r="BB103" s="2">
        <f t="shared" ref="BB103" si="205">(G103+I103)/AS103/12</f>
        <v>36.17579819277109</v>
      </c>
      <c r="BC103" s="2">
        <f t="shared" ref="BC103" si="206">AZ103-BA103-BB103</f>
        <v>176.82781079473119</v>
      </c>
      <c r="BD103" s="2">
        <f>T103/AT103/12</f>
        <v>731.61988207355489</v>
      </c>
      <c r="BE103" s="2">
        <f>Q103/AT103/12</f>
        <v>576.43077842377272</v>
      </c>
      <c r="BF103" s="2">
        <f>(R103+P103)/AT103/12</f>
        <v>37.041585917312659</v>
      </c>
      <c r="BG103" s="2">
        <f t="shared" ref="BG103" si="207">BD103-BE103-BF103</f>
        <v>118.14751773246951</v>
      </c>
      <c r="BH103" s="2">
        <f t="shared" ref="BH103" si="208">(K103-U103-Z103)/AS103/12</f>
        <v>584.05518127665903</v>
      </c>
      <c r="BI103" s="2">
        <f t="shared" ref="BI103" si="209">(V103+W103+X103)/AS103/12</f>
        <v>46.234376506024098</v>
      </c>
      <c r="BJ103" s="2">
        <f t="shared" si="180"/>
        <v>75.328849397590375</v>
      </c>
      <c r="BK103" s="2">
        <f t="shared" si="181"/>
        <v>38.713460843373468</v>
      </c>
      <c r="BL103" s="2">
        <f>(T103-AA103-AF103)/AT103/12</f>
        <v>572.00641954125524</v>
      </c>
      <c r="BM103" s="20">
        <f t="shared" ref="BM103" si="210">(AB103+AC103+AD103)/AT103/12</f>
        <v>46.874754521963816</v>
      </c>
      <c r="BN103" s="20">
        <f t="shared" ref="BN103" si="211">AE103/AT103/12</f>
        <v>75.895994832041353</v>
      </c>
      <c r="BO103" s="2">
        <f t="shared" ref="BO103" si="212">BD103-BL103-BM103-BN103</f>
        <v>36.842713178294488</v>
      </c>
      <c r="BP103" s="18">
        <f t="shared" ref="BP103" si="213">BA103/AZ103</f>
        <v>0.71383247427915408</v>
      </c>
      <c r="BQ103" s="18">
        <f t="shared" ref="BQ103" si="214">BE103/BD103</f>
        <v>0.78788287818266278</v>
      </c>
      <c r="BR103" s="18">
        <f t="shared" ref="BR103" si="215">BI103/AZ103</f>
        <v>6.2115272087954268E-2</v>
      </c>
      <c r="BS103" s="18">
        <f t="shared" ref="BS103" si="216">BM103/BD103</f>
        <v>6.4069820504483177E-2</v>
      </c>
      <c r="BT103" s="27">
        <f>BD103/Kool!BJ103</f>
        <v>0.92899446863353108</v>
      </c>
      <c r="BW103" s="27">
        <f t="shared" si="197"/>
        <v>14.821428571428568</v>
      </c>
      <c r="BX103" s="27">
        <f t="shared" si="198"/>
        <v>14.072727272727271</v>
      </c>
    </row>
    <row r="105" spans="1:76" x14ac:dyDescent="0.35">
      <c r="A105" s="1" t="s">
        <v>276</v>
      </c>
    </row>
    <row r="106" spans="1:76" x14ac:dyDescent="0.35">
      <c r="A106" t="s">
        <v>270</v>
      </c>
      <c r="B106" s="2">
        <f>COUNTIF($BD$4:$BD$82,"&gt;750")</f>
        <v>11</v>
      </c>
      <c r="C106" s="2">
        <f t="shared" ref="C106:AH106" si="217">SUMIF($BD$4:$BD$82,"&gt;750",C$4:C$82)</f>
        <v>1550863.67</v>
      </c>
      <c r="D106" s="2">
        <f t="shared" si="217"/>
        <v>9714.8200000000015</v>
      </c>
      <c r="E106" s="2">
        <f t="shared" si="217"/>
        <v>13355869.524982467</v>
      </c>
      <c r="F106" s="2">
        <f t="shared" si="217"/>
        <v>5732280.7700000005</v>
      </c>
      <c r="G106" s="2">
        <f t="shared" si="217"/>
        <v>1584758.2300000002</v>
      </c>
      <c r="H106" s="2">
        <f t="shared" si="217"/>
        <v>33563279.75</v>
      </c>
      <c r="I106" s="2">
        <f t="shared" si="217"/>
        <v>1694434.5700000003</v>
      </c>
      <c r="J106" s="2">
        <f t="shared" si="217"/>
        <v>96943.098682566779</v>
      </c>
      <c r="K106" s="2">
        <f t="shared" si="217"/>
        <v>44538824.663665034</v>
      </c>
      <c r="L106" s="2">
        <f t="shared" si="217"/>
        <v>1570664.6600000001</v>
      </c>
      <c r="M106" s="2">
        <f t="shared" si="217"/>
        <v>15513.039999999997</v>
      </c>
      <c r="N106" s="2">
        <f t="shared" si="217"/>
        <v>12323631.793147769</v>
      </c>
      <c r="O106" s="2">
        <f t="shared" si="217"/>
        <v>4890649.5200000005</v>
      </c>
      <c r="P106" s="2">
        <f t="shared" si="217"/>
        <v>1619960.21</v>
      </c>
      <c r="Q106" s="2">
        <f t="shared" si="217"/>
        <v>35206952.469999999</v>
      </c>
      <c r="R106" s="2">
        <f t="shared" si="217"/>
        <v>1861108.6900000002</v>
      </c>
      <c r="S106" s="2">
        <f t="shared" si="217"/>
        <v>105596.26316747657</v>
      </c>
      <c r="T106" s="2">
        <f t="shared" si="217"/>
        <v>46192817.396315247</v>
      </c>
      <c r="U106" s="2">
        <f t="shared" si="217"/>
        <v>8852415.0249824673</v>
      </c>
      <c r="V106" s="2">
        <f t="shared" si="217"/>
        <v>2926640.4200000004</v>
      </c>
      <c r="W106" s="2">
        <f t="shared" si="217"/>
        <v>1411991.6949824684</v>
      </c>
      <c r="X106" s="2">
        <f t="shared" si="217"/>
        <v>0</v>
      </c>
      <c r="Y106" s="2">
        <f t="shared" si="217"/>
        <v>2188145.9300000002</v>
      </c>
      <c r="Z106" s="2">
        <f t="shared" si="217"/>
        <v>1637114</v>
      </c>
      <c r="AA106" s="2">
        <f t="shared" si="217"/>
        <v>8448824.5031477697</v>
      </c>
      <c r="AB106" s="2">
        <f t="shared" si="217"/>
        <v>3308307.84</v>
      </c>
      <c r="AC106" s="2">
        <f t="shared" si="217"/>
        <v>1460772.5931477693</v>
      </c>
      <c r="AD106" s="2">
        <f t="shared" si="217"/>
        <v>0</v>
      </c>
      <c r="AE106" s="2">
        <f t="shared" si="217"/>
        <v>2132446.2300000004</v>
      </c>
      <c r="AF106" s="2">
        <f t="shared" si="217"/>
        <v>1664792</v>
      </c>
      <c r="AG106" s="2">
        <f t="shared" si="217"/>
        <v>4409</v>
      </c>
      <c r="AH106" s="2">
        <f t="shared" si="217"/>
        <v>255</v>
      </c>
      <c r="AI106" s="2">
        <f t="shared" ref="AI106:AY106" si="218">SUMIF($BD$4:$BD$82,"&gt;750",AI$4:AI$82)</f>
        <v>4664</v>
      </c>
      <c r="AJ106" s="2">
        <f t="shared" si="218"/>
        <v>2.0055211255691887</v>
      </c>
      <c r="AK106" s="2">
        <f t="shared" si="218"/>
        <v>4627</v>
      </c>
      <c r="AL106" s="2">
        <f t="shared" si="218"/>
        <v>259</v>
      </c>
      <c r="AM106" s="2">
        <f t="shared" si="218"/>
        <v>4886</v>
      </c>
      <c r="AN106" s="2">
        <f t="shared" si="218"/>
        <v>2.0223393765271682</v>
      </c>
      <c r="AO106" s="2">
        <f t="shared" si="218"/>
        <v>4397</v>
      </c>
      <c r="AP106" s="2">
        <f t="shared" si="218"/>
        <v>259</v>
      </c>
      <c r="AQ106" s="2">
        <f t="shared" si="218"/>
        <v>4656</v>
      </c>
      <c r="AR106" s="2">
        <f t="shared" si="218"/>
        <v>2.0729922748956682</v>
      </c>
      <c r="AS106" s="2">
        <f t="shared" si="218"/>
        <v>4737.9999999999991</v>
      </c>
      <c r="AT106" s="2">
        <f t="shared" si="218"/>
        <v>4809.333333333333</v>
      </c>
      <c r="AU106" s="2">
        <f t="shared" si="218"/>
        <v>293</v>
      </c>
      <c r="AV106" s="2">
        <f t="shared" si="218"/>
        <v>308</v>
      </c>
      <c r="AW106" s="2">
        <f t="shared" si="218"/>
        <v>302</v>
      </c>
      <c r="AX106" s="2">
        <f t="shared" si="218"/>
        <v>298</v>
      </c>
      <c r="AY106" s="2">
        <f t="shared" si="218"/>
        <v>306</v>
      </c>
      <c r="AZ106" s="2">
        <f t="shared" ref="AZ106:AZ109" si="219">K106/AS106/12</f>
        <v>783.36190839427752</v>
      </c>
      <c r="BA106" s="2">
        <f t="shared" ref="BA106:BA109" si="220">H106/AS106/12</f>
        <v>590.32080607147896</v>
      </c>
      <c r="BB106" s="2">
        <f t="shared" ref="BB106:BB109" si="221">(G106+I106)/AS106/12</f>
        <v>57.675404530744366</v>
      </c>
      <c r="BC106" s="2">
        <f t="shared" ref="BC106:BC109" si="222">AZ106-BA106-BB106</f>
        <v>135.36569779205419</v>
      </c>
      <c r="BD106" s="2">
        <f>T106/AT106/12</f>
        <v>800.40229755190001</v>
      </c>
      <c r="BE106" s="2">
        <f>Q106/AT106/12</f>
        <v>610.04561391045195</v>
      </c>
      <c r="BF106" s="2">
        <f>(R106+P106)/AT106/12</f>
        <v>60.317939076795135</v>
      </c>
      <c r="BG106" s="2">
        <f t="shared" ref="BG106:BG109" si="223">BD106-BE106-BF106</f>
        <v>130.03874456465292</v>
      </c>
      <c r="BH106" s="2">
        <f t="shared" ref="BH106:BH109" si="224">(K106-U106-Z106)/AS106/12</f>
        <v>598.86899603705103</v>
      </c>
      <c r="BI106" s="2">
        <f t="shared" ref="BI106:BI109" si="225">(V106+W106+X106)/AS106/12</f>
        <v>76.309133864191466</v>
      </c>
      <c r="BJ106" s="2">
        <f t="shared" ref="BJ106:BJ109" si="226">Y106/AS106/12</f>
        <v>38.485752251301541</v>
      </c>
      <c r="BK106" s="2">
        <f t="shared" ref="BK106:BK109" si="227">AZ106-BH106-BI106-BJ106</f>
        <v>69.698026241733487</v>
      </c>
      <c r="BL106" s="2">
        <f>(T106-AA106-AF106)/AT106/12</f>
        <v>625.15942773023778</v>
      </c>
      <c r="BM106" s="20">
        <f t="shared" ref="BM106:BM109" si="228">(AB106+AC106+AD106)/AT106/12</f>
        <v>82.635854469569054</v>
      </c>
      <c r="BN106" s="20">
        <f t="shared" ref="BN106:BN109" si="229">AE106/AT106/12</f>
        <v>36.949789125311902</v>
      </c>
      <c r="BO106" s="2">
        <f t="shared" ref="BO106:BO109" si="230">BD106-BL106-BM106-BN106</f>
        <v>55.657226226781269</v>
      </c>
      <c r="BP106" s="18">
        <f t="shared" ref="BP106:BP109" si="231">BA106/AZ106</f>
        <v>0.75357353956807638</v>
      </c>
      <c r="BQ106" s="18">
        <f t="shared" ref="BQ106:BQ109" si="232">BE106/BD106</f>
        <v>0.76217374160010465</v>
      </c>
      <c r="BR106" s="18">
        <f t="shared" ref="BR106:BR109" si="233">BI106/AZ106</f>
        <v>9.7412362085116805E-2</v>
      </c>
      <c r="BS106" s="18">
        <f t="shared" ref="BS106:BS109" si="234">BM106/BD106</f>
        <v>0.10324290012949487</v>
      </c>
      <c r="BT106" s="27">
        <f>BD106/Kool!BJ107</f>
        <v>1.1005601760416877</v>
      </c>
      <c r="BW106" s="27">
        <f t="shared" ref="BW106:BW109" si="235">AS106/AX106</f>
        <v>15.8993288590604</v>
      </c>
      <c r="BX106" s="27">
        <f t="shared" ref="BX106:BX109" si="236">AT106/AY106</f>
        <v>15.716775599128539</v>
      </c>
    </row>
    <row r="107" spans="1:76" x14ac:dyDescent="0.35">
      <c r="A107" t="s">
        <v>271</v>
      </c>
      <c r="B107" s="2">
        <f>COUNTIF($BD$4:$BD$82,"&gt;=650")-B106</f>
        <v>33</v>
      </c>
      <c r="C107" s="2">
        <f t="shared" ref="C107:AH107" si="237">SUMIF($BD$4:$BD$82,"&gt;=650",C$4:C$82)-C106</f>
        <v>10638057.739999998</v>
      </c>
      <c r="D107" s="2">
        <f t="shared" si="237"/>
        <v>91964.33</v>
      </c>
      <c r="E107" s="2">
        <f t="shared" si="237"/>
        <v>78238630.359999999</v>
      </c>
      <c r="F107" s="2">
        <f t="shared" si="237"/>
        <v>23852318.350000001</v>
      </c>
      <c r="G107" s="2">
        <f t="shared" si="237"/>
        <v>2185677.25</v>
      </c>
      <c r="H107" s="2">
        <f t="shared" si="237"/>
        <v>246363673.97000003</v>
      </c>
      <c r="I107" s="2">
        <f t="shared" si="237"/>
        <v>12621612.720000004</v>
      </c>
      <c r="J107" s="2">
        <f t="shared" si="237"/>
        <v>919053.27213424922</v>
      </c>
      <c r="K107" s="2">
        <f t="shared" si="237"/>
        <v>325020674.0421344</v>
      </c>
      <c r="L107" s="2">
        <f t="shared" si="237"/>
        <v>11787522.219999999</v>
      </c>
      <c r="M107" s="2">
        <f t="shared" si="237"/>
        <v>1139741.1999999997</v>
      </c>
      <c r="N107" s="2">
        <f t="shared" si="237"/>
        <v>77508844.310000032</v>
      </c>
      <c r="O107" s="2">
        <f t="shared" si="237"/>
        <v>22337404.610000003</v>
      </c>
      <c r="P107" s="2">
        <f t="shared" si="237"/>
        <v>2377498.3699999996</v>
      </c>
      <c r="Q107" s="2">
        <f t="shared" si="237"/>
        <v>248759095.07000014</v>
      </c>
      <c r="R107" s="2">
        <f t="shared" si="237"/>
        <v>14354722.680000002</v>
      </c>
      <c r="S107" s="2">
        <f t="shared" si="237"/>
        <v>471596.29651865043</v>
      </c>
      <c r="T107" s="2">
        <f t="shared" si="237"/>
        <v>331684117.16651881</v>
      </c>
      <c r="U107" s="2">
        <f t="shared" si="237"/>
        <v>50167166.090000004</v>
      </c>
      <c r="V107" s="2">
        <f t="shared" si="237"/>
        <v>25221827.439999998</v>
      </c>
      <c r="W107" s="2">
        <f t="shared" si="237"/>
        <v>8792621.8000000026</v>
      </c>
      <c r="X107" s="2">
        <f t="shared" si="237"/>
        <v>238780.52</v>
      </c>
      <c r="Y107" s="2">
        <f t="shared" si="237"/>
        <v>8625740.1699999999</v>
      </c>
      <c r="Z107" s="2">
        <f t="shared" si="237"/>
        <v>9349420</v>
      </c>
      <c r="AA107" s="2">
        <f t="shared" si="237"/>
        <v>46557995.379999995</v>
      </c>
      <c r="AB107" s="2">
        <f t="shared" si="237"/>
        <v>23540556.100000005</v>
      </c>
      <c r="AC107" s="2">
        <f t="shared" si="237"/>
        <v>9790616.620000001</v>
      </c>
      <c r="AD107" s="2">
        <f t="shared" si="237"/>
        <v>257036.99</v>
      </c>
      <c r="AE107" s="2">
        <f t="shared" si="237"/>
        <v>8454917.4900000002</v>
      </c>
      <c r="AF107" s="2">
        <f t="shared" si="237"/>
        <v>9297730</v>
      </c>
      <c r="AG107" s="2">
        <f t="shared" si="237"/>
        <v>39928</v>
      </c>
      <c r="AH107" s="2">
        <f t="shared" si="237"/>
        <v>2605</v>
      </c>
      <c r="AI107" s="2">
        <f t="shared" ref="AI107:BN107" si="238">SUMIF($BD$4:$BD$82,"&gt;=650",AI$4:AI$82)-AI106</f>
        <v>42533</v>
      </c>
      <c r="AJ107" s="2">
        <f t="shared" si="238"/>
        <v>4.7203707627809806</v>
      </c>
      <c r="AK107" s="2">
        <f t="shared" si="238"/>
        <v>38672</v>
      </c>
      <c r="AL107" s="2">
        <f t="shared" si="238"/>
        <v>2379</v>
      </c>
      <c r="AM107" s="2">
        <f t="shared" si="238"/>
        <v>41051</v>
      </c>
      <c r="AN107" s="2">
        <f t="shared" si="238"/>
        <v>4.1632240642625415</v>
      </c>
      <c r="AO107" s="2">
        <f t="shared" si="238"/>
        <v>36946</v>
      </c>
      <c r="AP107" s="2">
        <f t="shared" si="238"/>
        <v>2314</v>
      </c>
      <c r="AQ107" s="2">
        <f t="shared" si="238"/>
        <v>39260</v>
      </c>
      <c r="AR107" s="2">
        <f t="shared" si="238"/>
        <v>4.024611927903055</v>
      </c>
      <c r="AS107" s="2">
        <f t="shared" si="238"/>
        <v>42039.000000000007</v>
      </c>
      <c r="AT107" s="2">
        <f t="shared" si="238"/>
        <v>40453.999999999985</v>
      </c>
      <c r="AU107" s="2">
        <f t="shared" si="238"/>
        <v>2363</v>
      </c>
      <c r="AV107" s="2">
        <f t="shared" si="238"/>
        <v>2342</v>
      </c>
      <c r="AW107" s="2">
        <f t="shared" si="238"/>
        <v>2345</v>
      </c>
      <c r="AX107" s="2">
        <f t="shared" si="238"/>
        <v>2356</v>
      </c>
      <c r="AY107" s="2">
        <f t="shared" si="238"/>
        <v>2343.0000000000005</v>
      </c>
      <c r="AZ107" s="2">
        <f t="shared" si="219"/>
        <v>644.28402602768529</v>
      </c>
      <c r="BA107" s="2">
        <f t="shared" si="220"/>
        <v>488.36333319457327</v>
      </c>
      <c r="BB107" s="2">
        <f t="shared" si="221"/>
        <v>29.352287895367002</v>
      </c>
      <c r="BC107" s="2">
        <f t="shared" si="222"/>
        <v>126.56840493774502</v>
      </c>
      <c r="BD107" s="2">
        <f>T107/AT107/12</f>
        <v>683.25364851955089</v>
      </c>
      <c r="BE107" s="2">
        <f>Q107/AT107/12</f>
        <v>512.43201139977964</v>
      </c>
      <c r="BF107" s="2">
        <f>(R107+P107)/AT107/12</f>
        <v>34.467586744615296</v>
      </c>
      <c r="BG107" s="2">
        <f t="shared" si="223"/>
        <v>136.35405037515596</v>
      </c>
      <c r="BH107" s="2">
        <f t="shared" si="224"/>
        <v>526.30511341082945</v>
      </c>
      <c r="BI107" s="2">
        <f t="shared" si="225"/>
        <v>67.899707731709441</v>
      </c>
      <c r="BJ107" s="2">
        <f t="shared" si="226"/>
        <v>17.098686477635841</v>
      </c>
      <c r="BK107" s="2">
        <f t="shared" si="227"/>
        <v>32.980518407510559</v>
      </c>
      <c r="BL107" s="2">
        <f>(T107-AA107-AF107)/AT107/12</f>
        <v>568.19348681325062</v>
      </c>
      <c r="BM107" s="20">
        <f t="shared" si="228"/>
        <v>69.190128932450065</v>
      </c>
      <c r="BN107" s="20">
        <f t="shared" si="229"/>
        <v>17.416731534582496</v>
      </c>
      <c r="BO107" s="2">
        <f t="shared" si="230"/>
        <v>28.453301239267716</v>
      </c>
      <c r="BP107" s="18">
        <f t="shared" si="231"/>
        <v>0.75799385591718516</v>
      </c>
      <c r="BQ107" s="18">
        <f t="shared" si="232"/>
        <v>0.74998796202566742</v>
      </c>
      <c r="BR107" s="18">
        <f t="shared" si="233"/>
        <v>0.10538784912974351</v>
      </c>
      <c r="BS107" s="18">
        <f t="shared" si="234"/>
        <v>0.10126565600106009</v>
      </c>
      <c r="BT107" s="27">
        <f>BD107/Kool!BJ108</f>
        <v>1.1708218623320417</v>
      </c>
      <c r="BW107" s="27">
        <f t="shared" si="235"/>
        <v>17.84337860780985</v>
      </c>
      <c r="BX107" s="27">
        <f t="shared" si="236"/>
        <v>17.265898420827988</v>
      </c>
    </row>
    <row r="108" spans="1:76" x14ac:dyDescent="0.35">
      <c r="A108" t="s">
        <v>273</v>
      </c>
      <c r="B108" s="2">
        <f>COUNTIF($BD$4:$BD$82,"&lt;650")-B109</f>
        <v>30</v>
      </c>
      <c r="C108" s="2">
        <f t="shared" ref="C108:AH108" si="239">SUMIF($BD$4:$BD$82,"&lt;650",C$4:C$82)-C109</f>
        <v>3004662.0099999988</v>
      </c>
      <c r="D108" s="2">
        <f t="shared" si="239"/>
        <v>132172.92000000001</v>
      </c>
      <c r="E108" s="2">
        <f t="shared" si="239"/>
        <v>24718518.509263676</v>
      </c>
      <c r="F108" s="2">
        <f t="shared" si="239"/>
        <v>8540694.6100000013</v>
      </c>
      <c r="G108" s="2">
        <f t="shared" si="239"/>
        <v>733009.87</v>
      </c>
      <c r="H108" s="2">
        <f t="shared" si="239"/>
        <v>94236447.060000002</v>
      </c>
      <c r="I108" s="2">
        <f t="shared" si="239"/>
        <v>5356923.63</v>
      </c>
      <c r="J108" s="2">
        <f t="shared" si="239"/>
        <v>1940042.4614243899</v>
      </c>
      <c r="K108" s="2">
        <f t="shared" si="239"/>
        <v>120848071.9806881</v>
      </c>
      <c r="L108" s="2">
        <f t="shared" si="239"/>
        <v>3175022.8100000005</v>
      </c>
      <c r="M108" s="2">
        <f t="shared" si="239"/>
        <v>107928.68000000001</v>
      </c>
      <c r="N108" s="2">
        <f t="shared" si="239"/>
        <v>24620225.934025686</v>
      </c>
      <c r="O108" s="2">
        <f t="shared" si="239"/>
        <v>8317970.879999999</v>
      </c>
      <c r="P108" s="2">
        <f t="shared" si="239"/>
        <v>807448.15</v>
      </c>
      <c r="Q108" s="2">
        <f t="shared" si="239"/>
        <v>96296759.559999973</v>
      </c>
      <c r="R108" s="2">
        <f t="shared" si="239"/>
        <v>5572648.8299999991</v>
      </c>
      <c r="S108" s="2">
        <f t="shared" si="239"/>
        <v>913817.36459694407</v>
      </c>
      <c r="T108" s="2">
        <f t="shared" si="239"/>
        <v>122368432.29862264</v>
      </c>
      <c r="U108" s="2">
        <f t="shared" si="239"/>
        <v>19148564.229263674</v>
      </c>
      <c r="V108" s="2">
        <f t="shared" si="239"/>
        <v>9382640.8499999978</v>
      </c>
      <c r="W108" s="2">
        <f t="shared" si="239"/>
        <v>4345276.8692636741</v>
      </c>
      <c r="X108" s="2">
        <f t="shared" si="239"/>
        <v>64628.88</v>
      </c>
      <c r="Y108" s="2">
        <f t="shared" si="239"/>
        <v>3925422.8200000008</v>
      </c>
      <c r="Z108" s="2">
        <f t="shared" si="239"/>
        <v>4812505</v>
      </c>
      <c r="AA108" s="2">
        <f t="shared" si="239"/>
        <v>19709496.074025691</v>
      </c>
      <c r="AB108" s="2">
        <f t="shared" si="239"/>
        <v>10128694.999999998</v>
      </c>
      <c r="AC108" s="2">
        <f t="shared" si="239"/>
        <v>4482036.2340256916</v>
      </c>
      <c r="AD108" s="2">
        <f t="shared" si="239"/>
        <v>62780.78</v>
      </c>
      <c r="AE108" s="2">
        <f t="shared" si="239"/>
        <v>3873698.4099999992</v>
      </c>
      <c r="AF108" s="2">
        <f t="shared" si="239"/>
        <v>4832951</v>
      </c>
      <c r="AG108" s="2">
        <f t="shared" si="239"/>
        <v>14943</v>
      </c>
      <c r="AH108" s="2">
        <f t="shared" si="239"/>
        <v>2379</v>
      </c>
      <c r="AI108" s="2">
        <f t="shared" ref="AI108:BN108" si="240">SUMIF($BD$4:$BD$82,"&lt;650",AI$4:AI$82)-AI109</f>
        <v>17322</v>
      </c>
      <c r="AJ108" s="2">
        <f t="shared" si="240"/>
        <v>5.130625031055061</v>
      </c>
      <c r="AK108" s="2">
        <f t="shared" si="240"/>
        <v>15047</v>
      </c>
      <c r="AL108" s="2">
        <f t="shared" si="240"/>
        <v>2097</v>
      </c>
      <c r="AM108" s="2">
        <f t="shared" si="240"/>
        <v>17144</v>
      </c>
      <c r="AN108" s="2">
        <f t="shared" si="240"/>
        <v>3.9984075229383613</v>
      </c>
      <c r="AO108" s="2">
        <f t="shared" si="240"/>
        <v>14480</v>
      </c>
      <c r="AP108" s="2">
        <f t="shared" si="240"/>
        <v>1975</v>
      </c>
      <c r="AQ108" s="2">
        <f t="shared" si="240"/>
        <v>16455</v>
      </c>
      <c r="AR108" s="2">
        <f t="shared" si="240"/>
        <v>3.7687322015622042</v>
      </c>
      <c r="AS108" s="2">
        <f t="shared" si="240"/>
        <v>17262.666666666664</v>
      </c>
      <c r="AT108" s="2">
        <f t="shared" si="240"/>
        <v>16914.333333333339</v>
      </c>
      <c r="AU108" s="2">
        <f t="shared" si="240"/>
        <v>992</v>
      </c>
      <c r="AV108" s="2">
        <f t="shared" si="240"/>
        <v>1000</v>
      </c>
      <c r="AW108" s="2">
        <f t="shared" si="240"/>
        <v>1006</v>
      </c>
      <c r="AX108" s="2">
        <f t="shared" si="240"/>
        <v>994.66666666666686</v>
      </c>
      <c r="AY108" s="2">
        <f t="shared" si="240"/>
        <v>1002.0000000000001</v>
      </c>
      <c r="AZ108" s="2">
        <f t="shared" si="219"/>
        <v>583.37873629358205</v>
      </c>
      <c r="BA108" s="2">
        <f t="shared" si="220"/>
        <v>454.91449302927327</v>
      </c>
      <c r="BB108" s="2">
        <f t="shared" si="221"/>
        <v>29.398381381787289</v>
      </c>
      <c r="BC108" s="2">
        <f t="shared" si="222"/>
        <v>99.065861882521489</v>
      </c>
      <c r="BD108" s="2">
        <f>T108/AT108/12</f>
        <v>602.88331542588435</v>
      </c>
      <c r="BE108" s="2">
        <f>Q108/AT108/12</f>
        <v>474.4337128273848</v>
      </c>
      <c r="BF108" s="2">
        <f>(R108+P108)/AT108/12</f>
        <v>31.433384801844579</v>
      </c>
      <c r="BG108" s="2">
        <f t="shared" si="223"/>
        <v>97.016217796654971</v>
      </c>
      <c r="BH108" s="2">
        <f t="shared" si="224"/>
        <v>467.70971437120778</v>
      </c>
      <c r="BI108" s="2">
        <f t="shared" si="225"/>
        <v>66.581768939057682</v>
      </c>
      <c r="BJ108" s="2">
        <f t="shared" si="226"/>
        <v>18.949480671197968</v>
      </c>
      <c r="BK108" s="2">
        <f t="shared" si="227"/>
        <v>30.137772312118621</v>
      </c>
      <c r="BL108" s="2">
        <f>(T108-AA108-AF108)/AT108/12</f>
        <v>481.96788337601697</v>
      </c>
      <c r="BM108" s="20">
        <f t="shared" si="228"/>
        <v>72.293281901078402</v>
      </c>
      <c r="BN108" s="20">
        <f t="shared" si="229"/>
        <v>19.084890576040035</v>
      </c>
      <c r="BO108" s="2">
        <f t="shared" si="230"/>
        <v>29.53725957274894</v>
      </c>
      <c r="BP108" s="18">
        <f t="shared" si="231"/>
        <v>0.77979272251078435</v>
      </c>
      <c r="BQ108" s="18">
        <f t="shared" si="232"/>
        <v>0.78694118859839213</v>
      </c>
      <c r="BR108" s="18">
        <f t="shared" si="233"/>
        <v>0.11413129206949837</v>
      </c>
      <c r="BS108" s="18">
        <f t="shared" si="234"/>
        <v>0.11991256027712348</v>
      </c>
      <c r="BT108" s="27">
        <f>BD108/Kool!BJ109</f>
        <v>1.1987275232556598</v>
      </c>
      <c r="BW108" s="27">
        <f t="shared" si="235"/>
        <v>17.355227882037529</v>
      </c>
      <c r="BX108" s="27">
        <f t="shared" si="236"/>
        <v>16.880572188955426</v>
      </c>
    </row>
    <row r="109" spans="1:76" x14ac:dyDescent="0.35">
      <c r="A109" t="s">
        <v>272</v>
      </c>
      <c r="B109" s="2">
        <f>COUNTIF($BD$4:$BD$82,"&lt;550")</f>
        <v>4</v>
      </c>
      <c r="C109" s="2">
        <f t="shared" ref="C109:AH109" si="241">SUMIF($BD$4:$BD$82,"&lt;550",C$4:C$82)</f>
        <v>94583.12</v>
      </c>
      <c r="D109" s="2">
        <f t="shared" si="241"/>
        <v>3254.92</v>
      </c>
      <c r="E109" s="2">
        <f t="shared" si="241"/>
        <v>732394.71285764384</v>
      </c>
      <c r="F109" s="2">
        <f t="shared" si="241"/>
        <v>190136.32000000001</v>
      </c>
      <c r="G109" s="2">
        <f t="shared" si="241"/>
        <v>124.59</v>
      </c>
      <c r="H109" s="2">
        <f t="shared" si="241"/>
        <v>3543713.55</v>
      </c>
      <c r="I109" s="2">
        <f t="shared" si="241"/>
        <v>100984.49999999999</v>
      </c>
      <c r="J109" s="2">
        <f t="shared" si="241"/>
        <v>0</v>
      </c>
      <c r="K109" s="2">
        <f t="shared" si="241"/>
        <v>4284794.4828576436</v>
      </c>
      <c r="L109" s="2">
        <f t="shared" si="241"/>
        <v>109036.47</v>
      </c>
      <c r="M109" s="2">
        <f t="shared" si="241"/>
        <v>-1793.99</v>
      </c>
      <c r="N109" s="2">
        <f t="shared" si="241"/>
        <v>777114.87000000011</v>
      </c>
      <c r="O109" s="2">
        <f t="shared" si="241"/>
        <v>167860.9</v>
      </c>
      <c r="P109" s="2">
        <f t="shared" si="241"/>
        <v>67.25</v>
      </c>
      <c r="Q109" s="2">
        <f t="shared" si="241"/>
        <v>3522158.79</v>
      </c>
      <c r="R109" s="2">
        <f t="shared" si="241"/>
        <v>96528.290000000008</v>
      </c>
      <c r="S109" s="2">
        <f t="shared" si="241"/>
        <v>0</v>
      </c>
      <c r="T109" s="2">
        <f t="shared" si="241"/>
        <v>4335183.53</v>
      </c>
      <c r="U109" s="2">
        <f t="shared" si="241"/>
        <v>762219.13285764377</v>
      </c>
      <c r="V109" s="2">
        <f t="shared" si="241"/>
        <v>330909.74</v>
      </c>
      <c r="W109" s="2">
        <f t="shared" si="241"/>
        <v>163814.25285764376</v>
      </c>
      <c r="X109" s="2">
        <f t="shared" si="241"/>
        <v>0</v>
      </c>
      <c r="Y109" s="2">
        <f t="shared" si="241"/>
        <v>218199.9</v>
      </c>
      <c r="Z109" s="2">
        <f t="shared" si="241"/>
        <v>200961</v>
      </c>
      <c r="AA109" s="2">
        <f t="shared" si="241"/>
        <v>734268.63000000012</v>
      </c>
      <c r="AB109" s="2">
        <f t="shared" si="241"/>
        <v>336852.32</v>
      </c>
      <c r="AC109" s="2">
        <f t="shared" si="241"/>
        <v>199344.92</v>
      </c>
      <c r="AD109" s="2">
        <f t="shared" si="241"/>
        <v>0</v>
      </c>
      <c r="AE109" s="2">
        <f t="shared" si="241"/>
        <v>163413.74</v>
      </c>
      <c r="AF109" s="2">
        <f t="shared" si="241"/>
        <v>204527</v>
      </c>
      <c r="AG109" s="2">
        <f t="shared" si="241"/>
        <v>496</v>
      </c>
      <c r="AH109" s="2">
        <f t="shared" si="241"/>
        <v>186</v>
      </c>
      <c r="AI109" s="2">
        <f t="shared" ref="AI109:AY109" si="242">SUMIF($BD$4:$BD$82,"&lt;550",AI$4:AI$82)</f>
        <v>682</v>
      </c>
      <c r="AJ109" s="2">
        <f t="shared" si="242"/>
        <v>1.7525201066574172</v>
      </c>
      <c r="AK109" s="2">
        <f t="shared" si="242"/>
        <v>505</v>
      </c>
      <c r="AL109" s="2">
        <f t="shared" si="242"/>
        <v>194</v>
      </c>
      <c r="AM109" s="2">
        <f t="shared" si="242"/>
        <v>699</v>
      </c>
      <c r="AN109" s="2">
        <f t="shared" si="242"/>
        <v>1.7255819304367834</v>
      </c>
      <c r="AO109" s="2">
        <f t="shared" si="242"/>
        <v>468</v>
      </c>
      <c r="AP109" s="2">
        <f t="shared" si="242"/>
        <v>174</v>
      </c>
      <c r="AQ109" s="2">
        <f t="shared" si="242"/>
        <v>642</v>
      </c>
      <c r="AR109" s="2">
        <f t="shared" si="242"/>
        <v>1.7256568954181688</v>
      </c>
      <c r="AS109" s="2">
        <f t="shared" si="242"/>
        <v>687.66666666666674</v>
      </c>
      <c r="AT109" s="2">
        <f t="shared" si="242"/>
        <v>680</v>
      </c>
      <c r="AU109" s="2">
        <f t="shared" si="242"/>
        <v>42</v>
      </c>
      <c r="AV109" s="2">
        <f t="shared" si="242"/>
        <v>41</v>
      </c>
      <c r="AW109" s="2">
        <f t="shared" si="242"/>
        <v>40</v>
      </c>
      <c r="AX109" s="2">
        <f t="shared" si="242"/>
        <v>41.666666666666671</v>
      </c>
      <c r="AY109" s="2">
        <f t="shared" si="242"/>
        <v>40.666666666666671</v>
      </c>
      <c r="AZ109" s="2">
        <f t="shared" si="219"/>
        <v>519.24315109763006</v>
      </c>
      <c r="BA109" s="2">
        <f t="shared" si="220"/>
        <v>429.43693044110506</v>
      </c>
      <c r="BB109" s="2">
        <f t="shared" si="221"/>
        <v>12.25267692680562</v>
      </c>
      <c r="BC109" s="2">
        <f t="shared" si="222"/>
        <v>77.553543729719379</v>
      </c>
      <c r="BD109" s="2">
        <f>T109/AT109/12</f>
        <v>531.27249142156859</v>
      </c>
      <c r="BE109" s="2">
        <f>Q109/AT109/12</f>
        <v>431.63710661764708</v>
      </c>
      <c r="BF109" s="2">
        <f>(R109+P109)/AT109/12</f>
        <v>11.837688725490196</v>
      </c>
      <c r="BG109" s="2">
        <f t="shared" si="223"/>
        <v>87.797696078431315</v>
      </c>
      <c r="BH109" s="2">
        <f t="shared" si="224"/>
        <v>402.5223400387784</v>
      </c>
      <c r="BI109" s="2">
        <f t="shared" si="225"/>
        <v>59.952010768013054</v>
      </c>
      <c r="BJ109" s="2">
        <f t="shared" si="226"/>
        <v>26.442062530295683</v>
      </c>
      <c r="BK109" s="2">
        <f t="shared" si="227"/>
        <v>30.32673776054293</v>
      </c>
      <c r="BL109" s="2">
        <f>(T109-AA109-AF109)/AT109/12</f>
        <v>416.22400735294121</v>
      </c>
      <c r="BM109" s="20">
        <f t="shared" si="228"/>
        <v>65.710446078431374</v>
      </c>
      <c r="BN109" s="20">
        <f t="shared" si="229"/>
        <v>20.026193627450979</v>
      </c>
      <c r="BO109" s="2">
        <f t="shared" si="230"/>
        <v>29.31184436274502</v>
      </c>
      <c r="BP109" s="18">
        <f t="shared" si="231"/>
        <v>0.82704399573363019</v>
      </c>
      <c r="BQ109" s="18">
        <f t="shared" si="232"/>
        <v>0.81245898025452234</v>
      </c>
      <c r="BR109" s="18">
        <f t="shared" si="233"/>
        <v>0.11546037851684759</v>
      </c>
      <c r="BS109" s="18">
        <f t="shared" si="234"/>
        <v>0.1236850150148084</v>
      </c>
      <c r="BT109" s="27">
        <f>BD109/Kool!BJ110</f>
        <v>1.2432901482649685</v>
      </c>
      <c r="BW109" s="27">
        <f t="shared" si="235"/>
        <v>16.504000000000001</v>
      </c>
      <c r="BX109" s="27">
        <f t="shared" si="236"/>
        <v>16.721311475409834</v>
      </c>
    </row>
    <row r="110" spans="1:76" x14ac:dyDescent="0.35">
      <c r="BP110" s="44"/>
      <c r="BQ110" s="44"/>
      <c r="BR110" s="44"/>
      <c r="BS110" s="44"/>
    </row>
  </sheetData>
  <mergeCells count="27">
    <mergeCell ref="AU1:AY1"/>
    <mergeCell ref="AU2:AW2"/>
    <mergeCell ref="AX2:AY2"/>
    <mergeCell ref="BW1:BX2"/>
    <mergeCell ref="BY1:BZ2"/>
    <mergeCell ref="AZ2:BC2"/>
    <mergeCell ref="BH2:BK2"/>
    <mergeCell ref="BR1:BS2"/>
    <mergeCell ref="CB1:CE1"/>
    <mergeCell ref="BU1:BV2"/>
    <mergeCell ref="AZ1:BG1"/>
    <mergeCell ref="BD2:BG2"/>
    <mergeCell ref="BH1:BO1"/>
    <mergeCell ref="BL2:BO2"/>
    <mergeCell ref="BP1:BQ2"/>
    <mergeCell ref="A1:A3"/>
    <mergeCell ref="AO2:AR2"/>
    <mergeCell ref="C2:K2"/>
    <mergeCell ref="L2:T2"/>
    <mergeCell ref="C1:T1"/>
    <mergeCell ref="U2:Z2"/>
    <mergeCell ref="AA2:AF2"/>
    <mergeCell ref="U1:AF1"/>
    <mergeCell ref="AG2:AJ2"/>
    <mergeCell ref="AK2:AN2"/>
    <mergeCell ref="AG1:AT1"/>
    <mergeCell ref="AS2:AT2"/>
  </mergeCells>
  <conditionalFormatting sqref="AZ4:AZ82">
    <cfRule type="colorScale" priority="6">
      <colorScale>
        <cfvo type="min"/>
        <cfvo type="percentile" val="50"/>
        <cfvo type="max"/>
        <color rgb="FF63BE7B"/>
        <color rgb="FFFFEB84"/>
        <color rgb="FFF8696B"/>
      </colorScale>
    </cfRule>
  </conditionalFormatting>
  <conditionalFormatting sqref="BD4:BD82">
    <cfRule type="colorScale" priority="5">
      <colorScale>
        <cfvo type="min"/>
        <cfvo type="percentile" val="50"/>
        <cfvo type="max"/>
        <color rgb="FF63BE7B"/>
        <color rgb="FFFFEB84"/>
        <color rgb="FFF8696B"/>
      </colorScale>
    </cfRule>
  </conditionalFormatting>
  <conditionalFormatting sqref="BH4:BH82">
    <cfRule type="colorScale" priority="4">
      <colorScale>
        <cfvo type="min"/>
        <cfvo type="percentile" val="50"/>
        <cfvo type="max"/>
        <color rgb="FF63BE7B"/>
        <color rgb="FFFFEB84"/>
        <color rgb="FFF8696B"/>
      </colorScale>
    </cfRule>
  </conditionalFormatting>
  <conditionalFormatting sqref="BL4:BL82">
    <cfRule type="colorScale" priority="3">
      <colorScale>
        <cfvo type="min"/>
        <cfvo type="percentile" val="50"/>
        <cfvo type="max"/>
        <color rgb="FF63BE7B"/>
        <color rgb="FFFFEB84"/>
        <color rgb="FFF8696B"/>
      </colorScale>
    </cfRule>
  </conditionalFormatting>
  <conditionalFormatting sqref="BT4:BT82">
    <cfRule type="colorScale" priority="2">
      <colorScale>
        <cfvo type="min"/>
        <cfvo type="percentile" val="50"/>
        <cfvo type="max"/>
        <color rgb="FFF8696B"/>
        <color rgb="FFFFEB84"/>
        <color rgb="FF63BE7B"/>
      </colorScale>
    </cfRule>
  </conditionalFormatting>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01A99-4595-4276-B6AC-E16F8C2F710C}">
  <dimension ref="A1"/>
  <sheetViews>
    <sheetView workbookViewId="0">
      <selection activeCell="M92" sqref="M92"/>
    </sheetView>
  </sheetViews>
  <sheetFormatPr defaultRowHeight="14.5" x14ac:dyDescent="0.3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673D8-CBB2-4C62-9C7D-F1FF4D86C085}">
  <dimension ref="A1:CL119"/>
  <sheetViews>
    <sheetView workbookViewId="0">
      <pane xSplit="2" ySplit="3" topLeftCell="BO66" activePane="bottomRight" state="frozen"/>
      <selection pane="topRight" activeCell="B1" sqref="B1"/>
      <selection pane="bottomLeft" activeCell="A3" sqref="A3"/>
      <selection pane="bottomRight" activeCell="CC91" sqref="CC91"/>
    </sheetView>
  </sheetViews>
  <sheetFormatPr defaultRowHeight="14.5" x14ac:dyDescent="0.35"/>
  <cols>
    <col min="1" max="1" width="18.7265625" bestFit="1" customWidth="1"/>
    <col min="2" max="2" width="2.81640625" customWidth="1"/>
    <col min="3" max="3" width="12.1796875" customWidth="1"/>
    <col min="4" max="4" width="10.7265625" customWidth="1"/>
    <col min="5" max="5" width="12.36328125" customWidth="1"/>
    <col min="6" max="6" width="13.54296875" bestFit="1" customWidth="1"/>
    <col min="7" max="7" width="13.54296875" customWidth="1"/>
    <col min="8" max="8" width="10.81640625" customWidth="1"/>
    <col min="9" max="9" width="11" customWidth="1"/>
    <col min="10" max="11" width="9.90625" customWidth="1"/>
    <col min="12" max="12" width="10.6328125" customWidth="1"/>
    <col min="13" max="13" width="9.90625" customWidth="1"/>
    <col min="14" max="14" width="10.54296875" customWidth="1"/>
    <col min="15" max="15" width="11.54296875" customWidth="1"/>
    <col min="16" max="16" width="13.54296875" bestFit="1" customWidth="1"/>
    <col min="17" max="17" width="13.54296875" customWidth="1"/>
    <col min="18" max="18" width="10.453125" customWidth="1"/>
    <col min="19" max="19" width="10.7265625" customWidth="1"/>
    <col min="20" max="21" width="9.90625" customWidth="1"/>
    <col min="22" max="23" width="11" customWidth="1"/>
    <col min="24" max="25" width="9.90625" customWidth="1"/>
    <col min="26" max="27" width="10.7265625" bestFit="1" customWidth="1"/>
    <col min="28" max="29" width="9.90625" customWidth="1"/>
    <col min="30" max="30" width="10.7265625" bestFit="1" customWidth="1"/>
    <col min="31" max="32" width="9.6328125" bestFit="1" customWidth="1"/>
    <col min="33" max="33" width="9.6328125" customWidth="1"/>
    <col min="34" max="35" width="7.26953125" bestFit="1" customWidth="1"/>
    <col min="36" max="42" width="7.26953125" customWidth="1"/>
    <col min="43" max="44" width="10.7265625" bestFit="1" customWidth="1"/>
    <col min="45" max="46" width="7.26953125" customWidth="1"/>
    <col min="47" max="48" width="5.26953125" bestFit="1" customWidth="1"/>
    <col min="49" max="49" width="6" customWidth="1"/>
    <col min="50" max="50" width="5.7265625" customWidth="1"/>
    <col min="51" max="52" width="9.54296875" customWidth="1"/>
    <col min="55" max="55" width="9.453125" customWidth="1"/>
    <col min="56" max="56" width="13.08984375" customWidth="1"/>
    <col min="57" max="57" width="12.1796875" customWidth="1"/>
    <col min="58" max="58" width="6.7265625" bestFit="1" customWidth="1"/>
    <col min="62" max="62" width="6.7265625" bestFit="1" customWidth="1"/>
    <col min="66" max="66" width="4.453125" bestFit="1" customWidth="1"/>
    <col min="67" max="67" width="11.54296875" customWidth="1"/>
    <col min="68" max="68" width="7.90625" customWidth="1"/>
    <col min="69" max="69" width="4.453125" bestFit="1" customWidth="1"/>
    <col min="70" max="70" width="10.6328125" customWidth="1"/>
    <col min="71" max="73" width="7.36328125" customWidth="1"/>
    <col min="74" max="74" width="7.7265625" customWidth="1"/>
    <col min="75" max="75" width="8.36328125" customWidth="1"/>
    <col min="76" max="76" width="7.81640625" customWidth="1"/>
    <col min="77" max="79" width="7.08984375" customWidth="1"/>
    <col min="84" max="84" width="16.54296875" customWidth="1"/>
  </cols>
  <sheetData>
    <row r="1" spans="1:85" ht="14.5" customHeight="1" x14ac:dyDescent="0.35">
      <c r="A1" s="57" t="s">
        <v>169</v>
      </c>
      <c r="C1" s="65" t="s">
        <v>174</v>
      </c>
      <c r="D1" s="65"/>
      <c r="E1" s="65"/>
      <c r="F1" s="65"/>
      <c r="G1" s="65"/>
      <c r="H1" s="65"/>
      <c r="I1" s="65"/>
      <c r="J1" s="65"/>
      <c r="K1" s="65"/>
      <c r="L1" s="65"/>
      <c r="M1" s="65"/>
      <c r="N1" s="65"/>
      <c r="O1" s="65"/>
      <c r="P1" s="65"/>
      <c r="Q1" s="65"/>
      <c r="R1" s="65"/>
      <c r="S1" s="65"/>
      <c r="T1" s="65"/>
      <c r="U1" s="65"/>
      <c r="V1" s="65"/>
      <c r="W1" s="67" t="s">
        <v>243</v>
      </c>
      <c r="X1" s="67"/>
      <c r="Y1" s="73"/>
      <c r="Z1" s="73"/>
      <c r="AA1" s="73"/>
      <c r="AB1" s="73"/>
      <c r="AC1" s="73"/>
      <c r="AD1" s="73"/>
      <c r="AE1" s="67" t="s">
        <v>215</v>
      </c>
      <c r="AF1" s="67"/>
      <c r="AG1" s="67"/>
      <c r="AH1" s="67"/>
      <c r="AI1" s="67"/>
      <c r="AJ1" s="71" t="s">
        <v>274</v>
      </c>
      <c r="AK1" s="80"/>
      <c r="AL1" s="80"/>
      <c r="AM1" s="80"/>
      <c r="AN1" s="81"/>
      <c r="AO1" s="66" t="s">
        <v>292</v>
      </c>
      <c r="AP1" s="73"/>
      <c r="AQ1" s="75" t="s">
        <v>294</v>
      </c>
      <c r="AR1" s="89"/>
      <c r="AS1" s="75" t="s">
        <v>293</v>
      </c>
      <c r="AT1" s="89"/>
      <c r="AU1" s="75" t="s">
        <v>216</v>
      </c>
      <c r="AV1" s="75"/>
      <c r="AW1" s="75" t="s">
        <v>217</v>
      </c>
      <c r="AX1" s="75"/>
      <c r="AY1" s="67" t="s">
        <v>218</v>
      </c>
      <c r="AZ1" s="67"/>
      <c r="BA1" s="91" t="s">
        <v>249</v>
      </c>
      <c r="BB1" s="91"/>
      <c r="BC1" s="91"/>
      <c r="BD1" s="91"/>
      <c r="BE1" s="91"/>
      <c r="BF1" s="76" t="s">
        <v>225</v>
      </c>
      <c r="BG1" s="76"/>
      <c r="BH1" s="76"/>
      <c r="BI1" s="76"/>
      <c r="BJ1" s="77"/>
      <c r="BK1" s="77"/>
      <c r="BL1" s="77"/>
      <c r="BM1" s="77"/>
      <c r="BN1" s="76" t="s">
        <v>259</v>
      </c>
      <c r="BO1" s="76"/>
      <c r="BP1" s="76"/>
      <c r="BQ1" s="78"/>
      <c r="BR1" s="60"/>
      <c r="BS1" s="60"/>
      <c r="BT1" s="74" t="s">
        <v>282</v>
      </c>
      <c r="BU1" s="75"/>
      <c r="BV1" s="74" t="s">
        <v>255</v>
      </c>
      <c r="BW1" s="75"/>
      <c r="BX1" s="74" t="s">
        <v>275</v>
      </c>
      <c r="BY1" s="75"/>
      <c r="BZ1" s="74" t="s">
        <v>295</v>
      </c>
      <c r="CA1" s="75"/>
      <c r="CB1" s="66" t="s">
        <v>227</v>
      </c>
      <c r="CC1" s="67"/>
      <c r="CD1" s="67"/>
      <c r="CE1" s="67"/>
      <c r="CF1" s="73"/>
      <c r="CG1" s="84"/>
    </row>
    <row r="2" spans="1:85" ht="15" thickBot="1" x14ac:dyDescent="0.4">
      <c r="A2" s="57"/>
      <c r="B2" s="4"/>
      <c r="C2" s="86" t="s">
        <v>0</v>
      </c>
      <c r="D2" s="68"/>
      <c r="E2" s="68"/>
      <c r="F2" s="68"/>
      <c r="G2" s="68"/>
      <c r="H2" s="68"/>
      <c r="I2" s="68"/>
      <c r="J2" s="68"/>
      <c r="K2" s="68"/>
      <c r="L2" s="82"/>
      <c r="M2" s="87" t="s">
        <v>1</v>
      </c>
      <c r="N2" s="68"/>
      <c r="O2" s="68"/>
      <c r="P2" s="68"/>
      <c r="Q2" s="68"/>
      <c r="R2" s="68"/>
      <c r="S2" s="68"/>
      <c r="T2" s="68"/>
      <c r="U2" s="68"/>
      <c r="V2" s="68"/>
      <c r="W2" s="88">
        <v>2024</v>
      </c>
      <c r="X2" s="88"/>
      <c r="Y2" s="88"/>
      <c r="Z2" s="88"/>
      <c r="AA2" s="88">
        <v>2025</v>
      </c>
      <c r="AB2" s="88"/>
      <c r="AC2" s="88"/>
      <c r="AD2" s="88"/>
      <c r="AE2" s="67" t="s">
        <v>212</v>
      </c>
      <c r="AF2" s="67"/>
      <c r="AG2" s="67"/>
      <c r="AH2" s="67" t="s">
        <v>214</v>
      </c>
      <c r="AI2" s="67"/>
      <c r="AJ2" s="71" t="s">
        <v>212</v>
      </c>
      <c r="AK2" s="80"/>
      <c r="AL2" s="80"/>
      <c r="AM2" s="71" t="s">
        <v>214</v>
      </c>
      <c r="AN2" s="72"/>
      <c r="AO2" s="90"/>
      <c r="AP2" s="73"/>
      <c r="AQ2" s="89"/>
      <c r="AR2" s="89"/>
      <c r="AS2" s="89"/>
      <c r="AT2" s="89"/>
      <c r="AU2" s="75"/>
      <c r="AV2" s="75"/>
      <c r="AW2" s="75"/>
      <c r="AX2" s="75"/>
      <c r="AY2" s="67"/>
      <c r="AZ2" s="67"/>
      <c r="BA2" s="85" t="s">
        <v>191</v>
      </c>
      <c r="BB2" s="85" t="s">
        <v>192</v>
      </c>
      <c r="BC2" s="85" t="s">
        <v>193</v>
      </c>
      <c r="BD2" s="85" t="s">
        <v>194</v>
      </c>
      <c r="BE2" s="85" t="s">
        <v>219</v>
      </c>
      <c r="BF2" s="64">
        <v>2024</v>
      </c>
      <c r="BG2" s="68"/>
      <c r="BH2" s="68"/>
      <c r="BI2" s="82"/>
      <c r="BJ2" s="58">
        <v>2025</v>
      </c>
      <c r="BK2" s="77"/>
      <c r="BL2" s="77"/>
      <c r="BM2" s="77"/>
      <c r="BN2" s="71">
        <v>2024</v>
      </c>
      <c r="BO2" s="83"/>
      <c r="BP2" s="72"/>
      <c r="BQ2" s="79">
        <v>2025</v>
      </c>
      <c r="BR2" s="60"/>
      <c r="BS2" s="60"/>
      <c r="BT2" s="74"/>
      <c r="BU2" s="75"/>
      <c r="BV2" s="74"/>
      <c r="BW2" s="75"/>
      <c r="BX2" s="74"/>
      <c r="BY2" s="75"/>
      <c r="BZ2" s="74"/>
      <c r="CA2" s="75"/>
    </row>
    <row r="3" spans="1:85" ht="39.5" customHeight="1" x14ac:dyDescent="0.35">
      <c r="A3" s="57"/>
      <c r="B3" s="5" t="s">
        <v>3</v>
      </c>
      <c r="C3" s="45" t="s">
        <v>4</v>
      </c>
      <c r="D3" s="45" t="s">
        <v>5</v>
      </c>
      <c r="E3" s="45" t="s">
        <v>6</v>
      </c>
      <c r="F3" s="45" t="s">
        <v>7</v>
      </c>
      <c r="G3" s="46" t="s">
        <v>223</v>
      </c>
      <c r="H3" s="46" t="s">
        <v>209</v>
      </c>
      <c r="I3" s="45" t="s">
        <v>8</v>
      </c>
      <c r="J3" s="47" t="s">
        <v>221</v>
      </c>
      <c r="K3" s="48" t="s">
        <v>87</v>
      </c>
      <c r="L3" s="49" t="s">
        <v>224</v>
      </c>
      <c r="M3" s="45" t="s">
        <v>4</v>
      </c>
      <c r="N3" s="45" t="s">
        <v>5</v>
      </c>
      <c r="O3" s="45" t="s">
        <v>6</v>
      </c>
      <c r="P3" s="45" t="s">
        <v>7</v>
      </c>
      <c r="Q3" s="46" t="s">
        <v>223</v>
      </c>
      <c r="R3" s="46" t="s">
        <v>209</v>
      </c>
      <c r="S3" s="45" t="s">
        <v>8</v>
      </c>
      <c r="T3" s="47" t="s">
        <v>221</v>
      </c>
      <c r="U3" s="48" t="s">
        <v>87</v>
      </c>
      <c r="V3" s="49" t="s">
        <v>222</v>
      </c>
      <c r="W3" s="50" t="s">
        <v>262</v>
      </c>
      <c r="X3" s="50" t="s">
        <v>245</v>
      </c>
      <c r="Y3" s="50" t="s">
        <v>244</v>
      </c>
      <c r="Z3" s="9" t="s">
        <v>170</v>
      </c>
      <c r="AA3" s="50" t="s">
        <v>262</v>
      </c>
      <c r="AB3" s="50" t="s">
        <v>245</v>
      </c>
      <c r="AC3" s="50" t="s">
        <v>244</v>
      </c>
      <c r="AD3" s="9" t="s">
        <v>170</v>
      </c>
      <c r="AE3" s="35" t="s">
        <v>213</v>
      </c>
      <c r="AF3" s="35" t="s">
        <v>207</v>
      </c>
      <c r="AG3" s="35" t="s">
        <v>181</v>
      </c>
      <c r="AH3" s="32">
        <v>2024</v>
      </c>
      <c r="AI3" s="32">
        <v>2025</v>
      </c>
      <c r="AJ3" s="39" t="s">
        <v>265</v>
      </c>
      <c r="AK3" s="53" t="s">
        <v>207</v>
      </c>
      <c r="AL3" s="39" t="s">
        <v>181</v>
      </c>
      <c r="AM3" s="23">
        <v>2024</v>
      </c>
      <c r="AN3" s="23">
        <v>2025</v>
      </c>
      <c r="AO3" s="23">
        <v>2024</v>
      </c>
      <c r="AP3" s="23">
        <v>2025</v>
      </c>
      <c r="AQ3" s="23">
        <v>2024</v>
      </c>
      <c r="AR3" s="23">
        <v>2025</v>
      </c>
      <c r="AS3" s="23">
        <v>2024</v>
      </c>
      <c r="AT3" s="23">
        <v>2025</v>
      </c>
      <c r="AU3" s="32">
        <v>2024</v>
      </c>
      <c r="AV3" s="32">
        <v>2025</v>
      </c>
      <c r="AW3" s="32">
        <v>2024</v>
      </c>
      <c r="AX3" s="32">
        <v>2025</v>
      </c>
      <c r="AY3" s="32">
        <v>2024</v>
      </c>
      <c r="AZ3" s="32">
        <v>2025</v>
      </c>
      <c r="BA3" s="85"/>
      <c r="BB3" s="85"/>
      <c r="BC3" s="85"/>
      <c r="BD3" s="85"/>
      <c r="BE3" s="85"/>
      <c r="BF3" s="6" t="s">
        <v>170</v>
      </c>
      <c r="BG3" s="6" t="s">
        <v>184</v>
      </c>
      <c r="BH3" s="6" t="s">
        <v>210</v>
      </c>
      <c r="BI3" s="6" t="s">
        <v>211</v>
      </c>
      <c r="BJ3" s="6" t="s">
        <v>170</v>
      </c>
      <c r="BK3" s="6" t="s">
        <v>184</v>
      </c>
      <c r="BL3" s="6" t="s">
        <v>210</v>
      </c>
      <c r="BM3" s="6" t="s">
        <v>211</v>
      </c>
      <c r="BN3" s="6" t="s">
        <v>166</v>
      </c>
      <c r="BO3" s="6" t="s">
        <v>256</v>
      </c>
      <c r="BP3" s="6" t="s">
        <v>257</v>
      </c>
      <c r="BQ3" s="6" t="s">
        <v>166</v>
      </c>
      <c r="BR3" s="6" t="s">
        <v>256</v>
      </c>
      <c r="BS3" s="6" t="s">
        <v>257</v>
      </c>
      <c r="BT3" s="26">
        <v>2024</v>
      </c>
      <c r="BU3" s="26">
        <v>2025</v>
      </c>
      <c r="BV3" s="26">
        <v>2024</v>
      </c>
      <c r="BW3" s="26">
        <v>2025</v>
      </c>
      <c r="BX3" s="26">
        <v>2024</v>
      </c>
      <c r="BY3" s="26">
        <v>2025</v>
      </c>
      <c r="BZ3" s="26">
        <v>2024</v>
      </c>
      <c r="CA3" s="26">
        <v>2025</v>
      </c>
      <c r="CB3" s="26" t="s">
        <v>228</v>
      </c>
      <c r="CC3" s="26" t="s">
        <v>289</v>
      </c>
      <c r="CD3" s="26" t="s">
        <v>290</v>
      </c>
      <c r="CE3" s="26" t="s">
        <v>231</v>
      </c>
      <c r="CF3" s="26" t="s">
        <v>229</v>
      </c>
      <c r="CG3" s="26" t="s">
        <v>286</v>
      </c>
    </row>
    <row r="4" spans="1:85" ht="14.25" customHeight="1" x14ac:dyDescent="0.35">
      <c r="A4" t="s">
        <v>168</v>
      </c>
      <c r="B4" s="10" t="s">
        <v>9</v>
      </c>
      <c r="C4" s="11">
        <v>5615709.5099999998</v>
      </c>
      <c r="D4" s="11">
        <v>7563.9000000000005</v>
      </c>
      <c r="E4" s="11">
        <v>5856301.4899999993</v>
      </c>
      <c r="F4" s="11">
        <v>42180858.839999907</v>
      </c>
      <c r="G4" s="11">
        <v>1535095.7</v>
      </c>
      <c r="H4" s="11">
        <v>12347525.23</v>
      </c>
      <c r="I4" s="11">
        <v>173838732.53</v>
      </c>
      <c r="J4" s="11">
        <v>9227961.3096600007</v>
      </c>
      <c r="K4" s="11">
        <v>7813655.4900000012</v>
      </c>
      <c r="L4" s="12">
        <f t="shared" ref="L4:L35" si="0">C4+D4+F4+I4+K4-G4</f>
        <v>227921424.56999993</v>
      </c>
      <c r="M4" s="11">
        <v>7066853.3799999999</v>
      </c>
      <c r="N4" s="11">
        <v>9996.7300000000014</v>
      </c>
      <c r="O4" s="11">
        <v>6572142.6799999997</v>
      </c>
      <c r="P4" s="11">
        <v>47625393.999999993</v>
      </c>
      <c r="Q4" s="11">
        <v>1703206.58</v>
      </c>
      <c r="R4" s="11">
        <v>13034116.140000001</v>
      </c>
      <c r="S4" s="11">
        <v>182039339.46000001</v>
      </c>
      <c r="T4" s="11">
        <v>10261602.68988</v>
      </c>
      <c r="U4" s="11">
        <v>8420603.290000001</v>
      </c>
      <c r="V4" s="12">
        <f t="shared" ref="V4:V35" si="1">M4+N4+P4+S4+U4-Q4</f>
        <v>243458980.27999997</v>
      </c>
      <c r="W4" s="11">
        <v>138953386</v>
      </c>
      <c r="X4" s="11">
        <v>5003916</v>
      </c>
      <c r="Y4" s="11">
        <v>10096912.59</v>
      </c>
      <c r="Z4" s="51">
        <f>SUM(W4:Y4)</f>
        <v>154054214.59</v>
      </c>
      <c r="AA4" s="11">
        <v>138230870</v>
      </c>
      <c r="AB4" s="11">
        <v>5007434.8</v>
      </c>
      <c r="AC4" s="11">
        <v>15107817.279999997</v>
      </c>
      <c r="AD4" s="51">
        <f>SUM(AA4:AC4)</f>
        <v>158346122.08000001</v>
      </c>
      <c r="AE4" s="2">
        <v>48164</v>
      </c>
      <c r="AF4">
        <v>47025</v>
      </c>
      <c r="AG4">
        <v>46256</v>
      </c>
      <c r="AH4" s="2">
        <f>AE4*2/3+AF4*1/3</f>
        <v>47784.333333333328</v>
      </c>
      <c r="AI4" s="2">
        <f>AF4*2/3+AG4*1/3</f>
        <v>46768.666666666664</v>
      </c>
      <c r="AJ4" s="2">
        <v>2185</v>
      </c>
      <c r="AK4" s="2">
        <v>2178</v>
      </c>
      <c r="AL4" s="2">
        <v>2192</v>
      </c>
      <c r="AM4" s="2">
        <f>AJ4*2/3+AK4*1/3</f>
        <v>2182.666666666667</v>
      </c>
      <c r="AN4" s="2">
        <f>AK4*2/3+AL4*1/3</f>
        <v>2182.6666666666665</v>
      </c>
      <c r="AO4" s="2">
        <v>3079.75</v>
      </c>
      <c r="AP4" s="2">
        <v>3089.16</v>
      </c>
      <c r="AQ4" s="2">
        <v>95759144.920000002</v>
      </c>
      <c r="AR4" s="2">
        <v>96850665.029999986</v>
      </c>
      <c r="AS4" s="2">
        <f>AQ4/AO4/12</f>
        <v>2591.0962718835403</v>
      </c>
      <c r="AT4" s="2">
        <f>AR4/AP4/12</f>
        <v>2612.6483421059443</v>
      </c>
      <c r="AU4" s="2">
        <f>Alusharidus!AH4*2/3+Alusharidus!AL4*1/3</f>
        <v>153.66666666666666</v>
      </c>
      <c r="AV4" s="2">
        <f>Alusharidus!AL4*2/3+Alusharidus!AP4*1/3</f>
        <v>142.66666666666669</v>
      </c>
      <c r="AW4" s="18">
        <f t="shared" ref="AW4:AW38" si="2">AU4/(AH4+AU4)</f>
        <v>3.2055293643177998E-3</v>
      </c>
      <c r="AX4" s="18">
        <f t="shared" ref="AX4:AX38" si="3">AV4/(AI4+AV4)</f>
        <v>3.0411982889706831E-3</v>
      </c>
      <c r="AY4" s="40"/>
      <c r="AZ4" s="40"/>
      <c r="BA4" s="25" t="s">
        <v>195</v>
      </c>
      <c r="BF4" s="2">
        <f t="shared" ref="BF4:BF35" si="4">(L4-AY4)/AH4/12</f>
        <v>397.48283009424284</v>
      </c>
      <c r="BG4" s="2">
        <f t="shared" ref="BG4:BG35" si="5">I4/AH4/12</f>
        <v>303.16549449610403</v>
      </c>
      <c r="BH4" s="2">
        <f t="shared" ref="BH4:BH35" si="6">(H4+K4)/AH4/12</f>
        <v>35.160025810412066</v>
      </c>
      <c r="BI4" s="2">
        <f>BF4-BG4-BH4</f>
        <v>59.157309787726746</v>
      </c>
      <c r="BJ4" s="2">
        <f t="shared" ref="BJ4:BJ35" si="7">(V4-AZ4)/AI4/12</f>
        <v>433.80001617892322</v>
      </c>
      <c r="BK4" s="2">
        <f t="shared" ref="BK4:BK35" si="8">S4/AI4/12</f>
        <v>324.36128793494225</v>
      </c>
      <c r="BL4" s="2">
        <f t="shared" ref="BL4:BL35" si="9">(R4+U4)/AI4/12</f>
        <v>38.228442529186211</v>
      </c>
      <c r="BM4" s="2">
        <f>BJ4-BK4-BL4</f>
        <v>71.21028571479475</v>
      </c>
      <c r="BN4" s="2">
        <f t="shared" ref="BN4:BN35" si="10">(L4-AY4-Z4)/AH4/12</f>
        <v>128.82048157345841</v>
      </c>
      <c r="BO4" s="2">
        <f t="shared" ref="BO4:BO35" si="11">(W4+Y4)/AH4/12</f>
        <v>259.93578542130268</v>
      </c>
      <c r="BP4" s="2">
        <f>BF4-BN4-BO4</f>
        <v>8.7265630994817798</v>
      </c>
      <c r="BQ4" s="2">
        <f t="shared" ref="BQ4:BQ35" si="12">(V4-AZ4-AD4)/AI4/12</f>
        <v>151.65577060139972</v>
      </c>
      <c r="BR4" s="2">
        <f t="shared" ref="BR4:BR35" si="13">(AA4+AC4)/AI4/12</f>
        <v>273.22189941983953</v>
      </c>
      <c r="BS4" s="2">
        <f>BJ4-BQ4-BR4</f>
        <v>8.9223461576839895</v>
      </c>
      <c r="BT4" s="18">
        <f>BG4/BF4</f>
        <v>0.76271343450036255</v>
      </c>
      <c r="BU4" s="18">
        <f>BK4/BJ4</f>
        <v>0.74772078339701498</v>
      </c>
      <c r="BV4" s="18">
        <f t="shared" ref="BV4:BV35" si="14">(W4+Y4)/(L4-AY4)</f>
        <v>0.65395475160442063</v>
      </c>
      <c r="BW4" s="18">
        <f t="shared" ref="BW4:BW35" si="15">(AA4+AC4)/(V4-AZ4)</f>
        <v>0.62983376954773473</v>
      </c>
      <c r="BX4" s="34">
        <f t="shared" ref="BX4:BX35" si="16">AH4/AM4</f>
        <v>21.892638973732431</v>
      </c>
      <c r="BY4" s="34">
        <f t="shared" ref="BY4:BY35" si="17">AI4/AN4</f>
        <v>21.427306047648138</v>
      </c>
      <c r="BZ4" s="34">
        <f>AH4/AO4</f>
        <v>15.515653326839297</v>
      </c>
      <c r="CA4" s="34">
        <f>AI4/AP4</f>
        <v>15.139606451807827</v>
      </c>
      <c r="CB4" s="29">
        <v>1</v>
      </c>
      <c r="CC4" s="2">
        <v>1038.3</v>
      </c>
      <c r="CD4" s="2">
        <v>1092</v>
      </c>
      <c r="CE4">
        <v>461602</v>
      </c>
      <c r="CF4" t="s">
        <v>232</v>
      </c>
      <c r="CG4" t="s">
        <v>287</v>
      </c>
    </row>
    <row r="5" spans="1:85" ht="14.25" customHeight="1" x14ac:dyDescent="0.35">
      <c r="A5" t="s">
        <v>164</v>
      </c>
      <c r="B5" s="10" t="s">
        <v>10</v>
      </c>
      <c r="C5" s="11">
        <v>84018.23</v>
      </c>
      <c r="D5" s="13"/>
      <c r="E5" s="13"/>
      <c r="F5" s="11">
        <v>612998.62</v>
      </c>
      <c r="G5" s="11">
        <v>153171.04</v>
      </c>
      <c r="H5" s="11">
        <v>2760</v>
      </c>
      <c r="I5" s="11">
        <v>3505387.0100000012</v>
      </c>
      <c r="J5" s="11">
        <v>198384.41706000001</v>
      </c>
      <c r="K5" s="11">
        <v>96563.569999999992</v>
      </c>
      <c r="L5" s="12">
        <f t="shared" si="0"/>
        <v>4145796.3900000015</v>
      </c>
      <c r="M5" s="11">
        <v>101751.85</v>
      </c>
      <c r="N5" s="13"/>
      <c r="O5" s="13"/>
      <c r="P5" s="11">
        <v>690020.48000000033</v>
      </c>
      <c r="Q5" s="11">
        <v>147238.28</v>
      </c>
      <c r="R5" s="11">
        <v>2837.88</v>
      </c>
      <c r="S5" s="11">
        <v>3699769.13</v>
      </c>
      <c r="T5" s="11">
        <v>212488.71660000001</v>
      </c>
      <c r="U5" s="11">
        <v>94088.9</v>
      </c>
      <c r="V5" s="12">
        <f t="shared" si="1"/>
        <v>4438392.08</v>
      </c>
      <c r="W5" s="11">
        <v>2526092</v>
      </c>
      <c r="X5" s="11">
        <v>91375</v>
      </c>
      <c r="Y5" s="11">
        <v>53177.820000000007</v>
      </c>
      <c r="Z5" s="51">
        <f t="shared" ref="Z5:Z68" si="18">SUM(W5:Y5)</f>
        <v>2670644.8199999998</v>
      </c>
      <c r="AA5" s="11">
        <v>2630414</v>
      </c>
      <c r="AB5" s="11">
        <v>99626</v>
      </c>
      <c r="AC5" s="11">
        <v>145768.89000000001</v>
      </c>
      <c r="AD5" s="51">
        <f t="shared" ref="AD5:AD68" si="19">SUM(AA5:AC5)</f>
        <v>2875808.89</v>
      </c>
      <c r="AE5" s="2">
        <v>656</v>
      </c>
      <c r="AF5">
        <v>672</v>
      </c>
      <c r="AG5">
        <v>648</v>
      </c>
      <c r="AH5" s="2">
        <f t="shared" ref="AH5:AH68" si="20">AE5*2/3+AF5*1/3</f>
        <v>661.33333333333326</v>
      </c>
      <c r="AI5" s="2">
        <f t="shared" ref="AI5:AI68" si="21">AF5*2/3+AG5*1/3</f>
        <v>664</v>
      </c>
      <c r="AJ5" s="2">
        <v>50</v>
      </c>
      <c r="AK5" s="2">
        <v>50</v>
      </c>
      <c r="AL5" s="2">
        <v>52</v>
      </c>
      <c r="AM5" s="2">
        <f t="shared" ref="AM5:AM68" si="22">AJ5*2/3+AK5*1/3</f>
        <v>50</v>
      </c>
      <c r="AN5" s="2">
        <f t="shared" ref="AN5:AN68" si="23">AK5*2/3+AL5*1/3</f>
        <v>50.666666666666671</v>
      </c>
      <c r="AO5" s="2">
        <v>73</v>
      </c>
      <c r="AP5" s="2">
        <v>77.320000000000007</v>
      </c>
      <c r="AQ5" s="2">
        <v>1904761.26</v>
      </c>
      <c r="AR5" s="2">
        <v>2009970.44</v>
      </c>
      <c r="AS5" s="2">
        <f t="shared" ref="AS5:AS68" si="24">AQ5/AO5/12</f>
        <v>2174.3849999999998</v>
      </c>
      <c r="AT5" s="2">
        <f t="shared" ref="AT5:AT68" si="25">AR5/AP5/12</f>
        <v>2166.2899206759785</v>
      </c>
      <c r="AU5" s="2">
        <f>Alusharidus!AH5*2/3+Alusharidus!AL5*1/3</f>
        <v>63.666666666666671</v>
      </c>
      <c r="AV5" s="2">
        <f>Alusharidus!AL5*2/3+Alusharidus!AP5*1/3</f>
        <v>95.666666666666671</v>
      </c>
      <c r="AW5" s="18">
        <f t="shared" si="2"/>
        <v>8.7816091954023012E-2</v>
      </c>
      <c r="AX5" s="18">
        <f t="shared" si="3"/>
        <v>0.12593242650285214</v>
      </c>
      <c r="AY5" s="40">
        <f>J5*AW5</f>
        <v>17421.344210786214</v>
      </c>
      <c r="AZ5" s="40">
        <f>T5*AX5</f>
        <v>26759.219685914879</v>
      </c>
      <c r="BA5" s="25" t="s">
        <v>195</v>
      </c>
      <c r="BB5" s="41"/>
      <c r="BC5" s="41"/>
      <c r="BD5" s="41"/>
      <c r="BE5" s="42" t="s">
        <v>196</v>
      </c>
      <c r="BF5" s="2">
        <f t="shared" si="4"/>
        <v>520.20854911658466</v>
      </c>
      <c r="BG5" s="2">
        <f t="shared" si="5"/>
        <v>441.70703251008081</v>
      </c>
      <c r="BH5" s="2">
        <f t="shared" si="6"/>
        <v>12.515570816532259</v>
      </c>
      <c r="BI5" s="2">
        <f t="shared" ref="BI5:BI68" si="26">BF5-BG5-BH5</f>
        <v>65.985945789971595</v>
      </c>
      <c r="BJ5" s="2">
        <f t="shared" si="7"/>
        <v>553.66878266994047</v>
      </c>
      <c r="BK5" s="2">
        <f t="shared" si="8"/>
        <v>464.32845507028111</v>
      </c>
      <c r="BL5" s="2">
        <f t="shared" si="9"/>
        <v>12.164505522088353</v>
      </c>
      <c r="BM5" s="2">
        <f t="shared" ref="BM5:BM68" si="27">BJ5-BK5-BL5</f>
        <v>77.175822077571013</v>
      </c>
      <c r="BN5" s="2">
        <f t="shared" si="10"/>
        <v>183.68576433835881</v>
      </c>
      <c r="BO5" s="2">
        <f t="shared" si="11"/>
        <v>325.00879788306452</v>
      </c>
      <c r="BP5" s="2">
        <f t="shared" ref="BP5:BP68" si="28">BF5-BN5-BO5</f>
        <v>11.513986895161338</v>
      </c>
      <c r="BQ5" s="2">
        <f t="shared" si="12"/>
        <v>192.74899225829381</v>
      </c>
      <c r="BR5" s="2">
        <f t="shared" si="13"/>
        <v>348.41652735943779</v>
      </c>
      <c r="BS5" s="2">
        <f t="shared" ref="BS5:BS68" si="29">BJ5-BQ5-BR5</f>
        <v>12.503263052208865</v>
      </c>
      <c r="BT5" s="18">
        <f t="shared" ref="BT5:BT68" si="30">BG5/BF5</f>
        <v>0.84909606591469</v>
      </c>
      <c r="BU5" s="18">
        <f t="shared" ref="BU5:BU68" si="31">BK5/BJ5</f>
        <v>0.83863939886797267</v>
      </c>
      <c r="BV5" s="18">
        <f t="shared" si="14"/>
        <v>0.62476635271564207</v>
      </c>
      <c r="BW5" s="18">
        <f t="shared" si="15"/>
        <v>0.62928692797032759</v>
      </c>
      <c r="BX5" s="34">
        <f t="shared" si="16"/>
        <v>13.226666666666665</v>
      </c>
      <c r="BY5" s="34">
        <f t="shared" si="17"/>
        <v>13.105263157894736</v>
      </c>
      <c r="BZ5" s="34">
        <f t="shared" ref="BZ5:BZ68" si="32">AH5/AO5</f>
        <v>9.0593607305936068</v>
      </c>
      <c r="CA5" s="34">
        <f t="shared" ref="CA5:CA68" si="33">AI5/AP5</f>
        <v>8.5876875323331596</v>
      </c>
      <c r="CB5" s="29">
        <v>1.4</v>
      </c>
      <c r="CC5" s="2">
        <v>3162.3</v>
      </c>
      <c r="CD5" s="2">
        <v>2859.5</v>
      </c>
      <c r="CE5">
        <v>6363</v>
      </c>
      <c r="CF5" t="s">
        <v>233</v>
      </c>
      <c r="CG5" t="str">
        <f t="shared" ref="CG5:CG16" si="34">IF(CB5&lt;=1.25,"Keskuslik",IF(CB5&lt;=1.75,"Keskus-tagamaaline","Tagamaaline"))</f>
        <v>Keskus-tagamaaline</v>
      </c>
    </row>
    <row r="6" spans="1:85" ht="14.25" customHeight="1" x14ac:dyDescent="0.35">
      <c r="A6" t="s">
        <v>159</v>
      </c>
      <c r="B6" s="10" t="s">
        <v>11</v>
      </c>
      <c r="C6" s="11">
        <v>390999.31</v>
      </c>
      <c r="D6" s="11">
        <v>20</v>
      </c>
      <c r="E6" s="11">
        <v>12594</v>
      </c>
      <c r="F6" s="11">
        <v>3146866.919999999</v>
      </c>
      <c r="G6" s="11">
        <v>1141793.46</v>
      </c>
      <c r="H6" s="11">
        <v>463277.69</v>
      </c>
      <c r="I6" s="11">
        <v>7492543.3900000025</v>
      </c>
      <c r="J6" s="11">
        <v>559353.06756</v>
      </c>
      <c r="K6" s="11">
        <v>611821.79</v>
      </c>
      <c r="L6" s="12">
        <f t="shared" si="0"/>
        <v>10500457.949999999</v>
      </c>
      <c r="M6" s="11">
        <v>524287.42</v>
      </c>
      <c r="N6" s="11">
        <v>2898.12</v>
      </c>
      <c r="O6" s="11">
        <v>11034</v>
      </c>
      <c r="P6" s="11">
        <v>3711652.0000000009</v>
      </c>
      <c r="Q6" s="11">
        <v>1131035.73</v>
      </c>
      <c r="R6" s="11">
        <v>383750.61</v>
      </c>
      <c r="S6" s="11">
        <v>8249144.5399999991</v>
      </c>
      <c r="T6" s="11">
        <v>552809.20392000012</v>
      </c>
      <c r="U6" s="11">
        <v>687125.79000000015</v>
      </c>
      <c r="V6" s="12">
        <f t="shared" si="1"/>
        <v>12044072.140000001</v>
      </c>
      <c r="W6" s="11">
        <v>5339019</v>
      </c>
      <c r="X6" s="11">
        <v>140658</v>
      </c>
      <c r="Y6" s="11">
        <v>180013.84999999998</v>
      </c>
      <c r="Z6" s="51">
        <f t="shared" si="18"/>
        <v>5659690.8499999996</v>
      </c>
      <c r="AA6" s="11">
        <v>5665286</v>
      </c>
      <c r="AB6" s="11">
        <v>171239</v>
      </c>
      <c r="AC6" s="11">
        <v>610868.14000000013</v>
      </c>
      <c r="AD6" s="51">
        <f t="shared" si="19"/>
        <v>6447393.1400000006</v>
      </c>
      <c r="AE6" s="2">
        <v>1938</v>
      </c>
      <c r="AF6">
        <v>1983</v>
      </c>
      <c r="AG6">
        <v>2071</v>
      </c>
      <c r="AH6" s="2">
        <f t="shared" si="20"/>
        <v>1953</v>
      </c>
      <c r="AI6" s="2">
        <f t="shared" si="21"/>
        <v>2012.3333333333335</v>
      </c>
      <c r="AJ6" s="2">
        <v>100</v>
      </c>
      <c r="AK6" s="2">
        <v>105</v>
      </c>
      <c r="AL6" s="2">
        <v>112</v>
      </c>
      <c r="AM6" s="2">
        <f t="shared" si="22"/>
        <v>101.66666666666667</v>
      </c>
      <c r="AN6" s="2">
        <f t="shared" si="23"/>
        <v>107.33333333333334</v>
      </c>
      <c r="AO6" s="2">
        <v>134</v>
      </c>
      <c r="AP6" s="2">
        <v>141.63</v>
      </c>
      <c r="AQ6" s="2">
        <v>3971020.53</v>
      </c>
      <c r="AR6" s="2">
        <v>4249910.75</v>
      </c>
      <c r="AS6" s="2">
        <f t="shared" si="24"/>
        <v>2469.5401305970149</v>
      </c>
      <c r="AT6" s="2">
        <f t="shared" si="25"/>
        <v>2500.5947127491822</v>
      </c>
      <c r="AU6" s="2">
        <f>Alusharidus!AH6*2/3+Alusharidus!AL6*1/3</f>
        <v>30</v>
      </c>
      <c r="AV6" s="2">
        <f>Alusharidus!AL6*2/3+Alusharidus!AP6*1/3</f>
        <v>30</v>
      </c>
      <c r="AW6" s="18">
        <f t="shared" si="2"/>
        <v>1.5128593040847202E-2</v>
      </c>
      <c r="AX6" s="18">
        <f t="shared" si="3"/>
        <v>1.4689081116370163E-2</v>
      </c>
      <c r="AY6" s="37">
        <f>(L6-I6-1390283.39)*AW6</f>
        <v>24472.48366111947</v>
      </c>
      <c r="AZ6" s="37">
        <f>(V6-S6-1437808.73)*AX6</f>
        <v>34623.910282356803</v>
      </c>
      <c r="BB6" s="25" t="s">
        <v>195</v>
      </c>
      <c r="BC6" s="25" t="s">
        <v>195</v>
      </c>
      <c r="BD6" s="25" t="s">
        <v>195</v>
      </c>
      <c r="BE6" t="s">
        <v>250</v>
      </c>
      <c r="BF6" s="2">
        <f t="shared" si="4"/>
        <v>447.0039881523673</v>
      </c>
      <c r="BG6" s="2">
        <f t="shared" si="5"/>
        <v>319.70231225465108</v>
      </c>
      <c r="BH6" s="2">
        <f t="shared" si="6"/>
        <v>45.873847072879329</v>
      </c>
      <c r="BI6" s="2">
        <f t="shared" si="26"/>
        <v>81.427828824836894</v>
      </c>
      <c r="BJ6" s="2">
        <f t="shared" si="7"/>
        <v>497.32682746884393</v>
      </c>
      <c r="BK6" s="2">
        <f t="shared" si="8"/>
        <v>341.60777455689907</v>
      </c>
      <c r="BL6" s="2">
        <f t="shared" si="9"/>
        <v>44.34638065264204</v>
      </c>
      <c r="BM6" s="2">
        <f t="shared" si="27"/>
        <v>111.37267225930282</v>
      </c>
      <c r="BN6" s="2">
        <f t="shared" si="10"/>
        <v>205.50838950072031</v>
      </c>
      <c r="BO6" s="2">
        <f t="shared" si="11"/>
        <v>235.49380653695167</v>
      </c>
      <c r="BP6" s="2">
        <f t="shared" si="28"/>
        <v>6.0017921146953199</v>
      </c>
      <c r="BQ6" s="2">
        <f t="shared" si="12"/>
        <v>230.33191526079358</v>
      </c>
      <c r="BR6" s="2">
        <f t="shared" si="13"/>
        <v>259.90368312075537</v>
      </c>
      <c r="BS6" s="2">
        <f t="shared" si="29"/>
        <v>7.0912290872949484</v>
      </c>
      <c r="BT6" s="18">
        <f t="shared" si="30"/>
        <v>0.71521131964862084</v>
      </c>
      <c r="BU6" s="18">
        <f t="shared" si="31"/>
        <v>0.68688788878637319</v>
      </c>
      <c r="BV6" s="18">
        <f t="shared" si="14"/>
        <v>0.52682708158899128</v>
      </c>
      <c r="BW6" s="18">
        <f t="shared" si="15"/>
        <v>0.52260137351435676</v>
      </c>
      <c r="BX6" s="34">
        <f t="shared" si="16"/>
        <v>19.209836065573768</v>
      </c>
      <c r="BY6" s="34">
        <f t="shared" si="17"/>
        <v>18.748447204968944</v>
      </c>
      <c r="BZ6" s="34">
        <f t="shared" si="32"/>
        <v>14.574626865671641</v>
      </c>
      <c r="CA6" s="34">
        <f t="shared" si="33"/>
        <v>14.208383346277861</v>
      </c>
      <c r="CB6" s="29">
        <v>1.1299999999999999</v>
      </c>
      <c r="CC6" s="2">
        <v>2417.1</v>
      </c>
      <c r="CD6" s="2">
        <v>5847.1</v>
      </c>
      <c r="CE6">
        <v>18471</v>
      </c>
      <c r="CF6" t="s">
        <v>232</v>
      </c>
      <c r="CG6" t="str">
        <f t="shared" si="34"/>
        <v>Keskuslik</v>
      </c>
    </row>
    <row r="7" spans="1:85" ht="14.25" customHeight="1" x14ac:dyDescent="0.35">
      <c r="A7" t="s">
        <v>155</v>
      </c>
      <c r="B7" s="10" t="s">
        <v>12</v>
      </c>
      <c r="C7" s="11">
        <v>97572.1</v>
      </c>
      <c r="D7" s="13"/>
      <c r="E7" s="13"/>
      <c r="F7" s="11">
        <v>1024944.9</v>
      </c>
      <c r="G7" s="11">
        <v>368747.3</v>
      </c>
      <c r="H7" s="11"/>
      <c r="I7" s="11">
        <v>4178071.07</v>
      </c>
      <c r="J7" s="11">
        <v>213773.53110000002</v>
      </c>
      <c r="K7" s="11">
        <v>654898.68000000005</v>
      </c>
      <c r="L7" s="12">
        <f t="shared" si="0"/>
        <v>5586739.4500000002</v>
      </c>
      <c r="M7" s="11">
        <v>126744.33</v>
      </c>
      <c r="N7" s="13"/>
      <c r="O7" s="11">
        <v>180</v>
      </c>
      <c r="P7" s="11">
        <v>1150337.98</v>
      </c>
      <c r="Q7" s="11">
        <v>359702.77000000008</v>
      </c>
      <c r="R7" s="11"/>
      <c r="S7" s="11">
        <v>4335280.9400000004</v>
      </c>
      <c r="T7" s="11">
        <v>237473.91312000001</v>
      </c>
      <c r="U7" s="11">
        <v>666563.9</v>
      </c>
      <c r="V7" s="12">
        <f t="shared" si="1"/>
        <v>5919224.3799999999</v>
      </c>
      <c r="W7" s="11">
        <v>3217181</v>
      </c>
      <c r="X7" s="11">
        <v>114546</v>
      </c>
      <c r="Y7" s="11">
        <v>293850.31</v>
      </c>
      <c r="Z7" s="51">
        <f t="shared" si="18"/>
        <v>3625577.31</v>
      </c>
      <c r="AA7" s="11">
        <v>3214137</v>
      </c>
      <c r="AB7" s="11">
        <v>104749</v>
      </c>
      <c r="AC7" s="11">
        <v>291150.65999999997</v>
      </c>
      <c r="AD7" s="51">
        <f t="shared" si="19"/>
        <v>3610036.66</v>
      </c>
      <c r="AE7" s="2">
        <v>898</v>
      </c>
      <c r="AF7">
        <v>873</v>
      </c>
      <c r="AG7">
        <v>882</v>
      </c>
      <c r="AH7" s="2">
        <f t="shared" si="20"/>
        <v>889.66666666666663</v>
      </c>
      <c r="AI7" s="2">
        <f t="shared" si="21"/>
        <v>876</v>
      </c>
      <c r="AJ7" s="2">
        <v>55</v>
      </c>
      <c r="AK7" s="2">
        <v>56</v>
      </c>
      <c r="AL7" s="2">
        <v>58</v>
      </c>
      <c r="AM7" s="2">
        <f t="shared" si="22"/>
        <v>55.333333333333329</v>
      </c>
      <c r="AN7" s="2">
        <f t="shared" si="23"/>
        <v>56.666666666666671</v>
      </c>
      <c r="AO7" s="2">
        <v>75.929999999999993</v>
      </c>
      <c r="AP7" s="2">
        <v>78.22999999999999</v>
      </c>
      <c r="AQ7" s="2">
        <v>2121704.7200000002</v>
      </c>
      <c r="AR7" s="2">
        <v>2202167.41</v>
      </c>
      <c r="AS7" s="2">
        <f t="shared" si="24"/>
        <v>2328.575354493174</v>
      </c>
      <c r="AT7" s="2">
        <f t="shared" si="25"/>
        <v>2345.8257808172489</v>
      </c>
      <c r="AU7" s="2">
        <f>Alusharidus!AH7*2/3+Alusharidus!AL7*1/3</f>
        <v>0</v>
      </c>
      <c r="AV7" s="2">
        <f>Alusharidus!AL7*2/3+Alusharidus!AP7*1/3</f>
        <v>0</v>
      </c>
      <c r="AW7" s="18">
        <f t="shared" si="2"/>
        <v>0</v>
      </c>
      <c r="AX7" s="18">
        <f t="shared" si="3"/>
        <v>0</v>
      </c>
      <c r="AY7" s="40"/>
      <c r="AZ7" s="40"/>
      <c r="BF7" s="2">
        <f t="shared" si="4"/>
        <v>523.29893686774074</v>
      </c>
      <c r="BG7" s="2">
        <f t="shared" si="5"/>
        <v>391.3517300487074</v>
      </c>
      <c r="BH7" s="2">
        <f t="shared" si="6"/>
        <v>61.343076058448865</v>
      </c>
      <c r="BI7" s="2">
        <f t="shared" si="26"/>
        <v>70.604130760584468</v>
      </c>
      <c r="BJ7" s="2">
        <f t="shared" si="7"/>
        <v>563.09212138508371</v>
      </c>
      <c r="BK7" s="2">
        <f t="shared" si="8"/>
        <v>412.41257039573821</v>
      </c>
      <c r="BL7" s="2">
        <f t="shared" si="9"/>
        <v>63.409807838660583</v>
      </c>
      <c r="BM7" s="2">
        <f t="shared" si="27"/>
        <v>87.269743150684917</v>
      </c>
      <c r="BN7" s="2">
        <f t="shared" si="10"/>
        <v>183.69821468714875</v>
      </c>
      <c r="BO7" s="2">
        <f t="shared" si="11"/>
        <v>328.87142281753466</v>
      </c>
      <c r="BP7" s="2">
        <f t="shared" si="28"/>
        <v>10.729299363057351</v>
      </c>
      <c r="BQ7" s="2">
        <f t="shared" si="12"/>
        <v>219.67158675799087</v>
      </c>
      <c r="BR7" s="2">
        <f t="shared" si="13"/>
        <v>333.45582762557081</v>
      </c>
      <c r="BS7" s="2">
        <f t="shared" si="29"/>
        <v>9.9647070015220152</v>
      </c>
      <c r="BT7" s="18">
        <f t="shared" si="30"/>
        <v>0.74785500691284257</v>
      </c>
      <c r="BU7" s="18">
        <f t="shared" si="31"/>
        <v>0.73240692727380607</v>
      </c>
      <c r="BV7" s="18">
        <f t="shared" si="14"/>
        <v>0.62845803736202521</v>
      </c>
      <c r="BW7" s="18">
        <f t="shared" si="15"/>
        <v>0.59218698852568252</v>
      </c>
      <c r="BX7" s="34">
        <f t="shared" si="16"/>
        <v>16.078313253012048</v>
      </c>
      <c r="BY7" s="34">
        <f t="shared" si="17"/>
        <v>15.458823529411763</v>
      </c>
      <c r="BZ7" s="34">
        <f t="shared" si="32"/>
        <v>11.716932262171298</v>
      </c>
      <c r="CA7" s="34">
        <f t="shared" si="33"/>
        <v>11.19775022369935</v>
      </c>
      <c r="CB7" s="29">
        <v>1.47</v>
      </c>
      <c r="CC7" s="2">
        <v>2862.8</v>
      </c>
      <c r="CD7" s="2">
        <v>4625.8</v>
      </c>
      <c r="CE7">
        <v>7731</v>
      </c>
      <c r="CF7" t="s">
        <v>233</v>
      </c>
      <c r="CG7" t="str">
        <f t="shared" si="34"/>
        <v>Keskus-tagamaaline</v>
      </c>
    </row>
    <row r="8" spans="1:85" ht="14.25" customHeight="1" x14ac:dyDescent="0.35">
      <c r="A8" t="s">
        <v>147</v>
      </c>
      <c r="B8" s="10" t="s">
        <v>13</v>
      </c>
      <c r="C8" s="11">
        <v>397803.5</v>
      </c>
      <c r="D8" s="13"/>
      <c r="E8" s="11">
        <v>44521.47</v>
      </c>
      <c r="F8" s="11">
        <v>2125168.1400000011</v>
      </c>
      <c r="G8" s="11">
        <v>233987.24</v>
      </c>
      <c r="H8" s="11">
        <v>408710.91</v>
      </c>
      <c r="I8" s="11">
        <v>6386375.1500000013</v>
      </c>
      <c r="J8" s="11">
        <v>518986.47726000007</v>
      </c>
      <c r="K8" s="11">
        <v>256449.45</v>
      </c>
      <c r="L8" s="12">
        <f t="shared" si="0"/>
        <v>8931809.0000000019</v>
      </c>
      <c r="M8" s="11">
        <v>418383.59</v>
      </c>
      <c r="N8" s="13"/>
      <c r="O8" s="11">
        <v>22560</v>
      </c>
      <c r="P8" s="11">
        <v>2178496.69</v>
      </c>
      <c r="Q8" s="11">
        <v>266328.23</v>
      </c>
      <c r="R8" s="11">
        <v>319328.14</v>
      </c>
      <c r="S8" s="11">
        <v>6488880.9000000004</v>
      </c>
      <c r="T8" s="11">
        <v>533556.57473999995</v>
      </c>
      <c r="U8" s="11">
        <v>256449.45</v>
      </c>
      <c r="V8" s="12">
        <f t="shared" si="1"/>
        <v>9075882.3999999985</v>
      </c>
      <c r="W8" s="11">
        <v>5368351</v>
      </c>
      <c r="X8" s="11">
        <v>413250</v>
      </c>
      <c r="Y8" s="11">
        <v>160848.17999999993</v>
      </c>
      <c r="Z8" s="51">
        <f t="shared" si="18"/>
        <v>5942449.1799999997</v>
      </c>
      <c r="AA8" s="11">
        <v>5357736</v>
      </c>
      <c r="AB8" s="11">
        <v>499551</v>
      </c>
      <c r="AC8" s="11">
        <v>262753.72000000009</v>
      </c>
      <c r="AD8" s="51">
        <f t="shared" si="19"/>
        <v>6120040.7199999997</v>
      </c>
      <c r="AE8" s="2">
        <v>1690</v>
      </c>
      <c r="AF8">
        <v>1680</v>
      </c>
      <c r="AG8">
        <v>1856</v>
      </c>
      <c r="AH8" s="2">
        <f t="shared" si="20"/>
        <v>1686.6666666666667</v>
      </c>
      <c r="AI8" s="2">
        <f t="shared" si="21"/>
        <v>1738.6666666666665</v>
      </c>
      <c r="AJ8" s="2">
        <v>100</v>
      </c>
      <c r="AK8" s="2">
        <v>93</v>
      </c>
      <c r="AL8" s="2">
        <v>97</v>
      </c>
      <c r="AM8" s="2">
        <f t="shared" si="22"/>
        <v>97.666666666666671</v>
      </c>
      <c r="AN8" s="2">
        <f t="shared" si="23"/>
        <v>94.333333333333343</v>
      </c>
      <c r="AO8" s="2">
        <v>121.88</v>
      </c>
      <c r="AP8" s="2">
        <v>122.09</v>
      </c>
      <c r="AQ8" s="2">
        <v>3660913.23</v>
      </c>
      <c r="AR8" s="2">
        <v>3685373.86</v>
      </c>
      <c r="AS8" s="2">
        <f t="shared" si="24"/>
        <v>2503.085842632097</v>
      </c>
      <c r="AT8" s="2">
        <f t="shared" si="25"/>
        <v>2515.4761924263521</v>
      </c>
      <c r="AU8" s="2">
        <f>Alusharidus!AH8*2/3+Alusharidus!AL8*1/3</f>
        <v>0</v>
      </c>
      <c r="AV8" s="2">
        <f>Alusharidus!AL8*2/3+Alusharidus!AP8*1/3</f>
        <v>0</v>
      </c>
      <c r="AW8" s="18">
        <f t="shared" si="2"/>
        <v>0</v>
      </c>
      <c r="AX8" s="18">
        <f t="shared" si="3"/>
        <v>0</v>
      </c>
      <c r="AY8" s="40"/>
      <c r="AZ8" s="40"/>
      <c r="BF8" s="2">
        <f t="shared" si="4"/>
        <v>441.29491106719371</v>
      </c>
      <c r="BG8" s="2">
        <f t="shared" si="5"/>
        <v>315.53236907114632</v>
      </c>
      <c r="BH8" s="2">
        <f t="shared" si="6"/>
        <v>32.863654150197625</v>
      </c>
      <c r="BI8" s="2">
        <f t="shared" si="26"/>
        <v>92.898887845849771</v>
      </c>
      <c r="BJ8" s="2">
        <f t="shared" si="7"/>
        <v>435.0020322085889</v>
      </c>
      <c r="BK8" s="2">
        <f t="shared" si="8"/>
        <v>311.00847871932518</v>
      </c>
      <c r="BL8" s="2">
        <f t="shared" si="9"/>
        <v>27.596701974693257</v>
      </c>
      <c r="BM8" s="2">
        <f t="shared" si="27"/>
        <v>96.396851514570457</v>
      </c>
      <c r="BN8" s="2">
        <f t="shared" si="10"/>
        <v>147.69564328063251</v>
      </c>
      <c r="BO8" s="2">
        <f t="shared" si="11"/>
        <v>273.18177766798414</v>
      </c>
      <c r="BP8" s="2">
        <f t="shared" si="28"/>
        <v>20.417490118577064</v>
      </c>
      <c r="BQ8" s="2">
        <f t="shared" si="12"/>
        <v>141.67185966257662</v>
      </c>
      <c r="BR8" s="2">
        <f t="shared" si="13"/>
        <v>269.38696894171784</v>
      </c>
      <c r="BS8" s="2">
        <f t="shared" si="29"/>
        <v>23.943203604294411</v>
      </c>
      <c r="BT8" s="18">
        <f t="shared" si="30"/>
        <v>0.71501474673271681</v>
      </c>
      <c r="BU8" s="18">
        <f t="shared" si="31"/>
        <v>0.71495867994058648</v>
      </c>
      <c r="BV8" s="18">
        <f t="shared" si="14"/>
        <v>0.61904583718706907</v>
      </c>
      <c r="BW8" s="18">
        <f t="shared" si="15"/>
        <v>0.61927749526591491</v>
      </c>
      <c r="BX8" s="34">
        <f t="shared" si="16"/>
        <v>17.269624573378838</v>
      </c>
      <c r="BY8" s="34">
        <f t="shared" si="17"/>
        <v>18.43109540636042</v>
      </c>
      <c r="BZ8" s="34">
        <f t="shared" si="32"/>
        <v>13.838748495788208</v>
      </c>
      <c r="CA8" s="34">
        <f t="shared" si="33"/>
        <v>14.240860567341031</v>
      </c>
      <c r="CB8" s="29">
        <v>1</v>
      </c>
      <c r="CC8" s="2">
        <v>1423.1</v>
      </c>
      <c r="CD8" s="2">
        <v>1397.3</v>
      </c>
      <c r="CE8">
        <v>10482</v>
      </c>
      <c r="CF8" t="s">
        <v>233</v>
      </c>
      <c r="CG8" t="str">
        <f t="shared" si="34"/>
        <v>Keskuslik</v>
      </c>
    </row>
    <row r="9" spans="1:85" ht="14.25" customHeight="1" x14ac:dyDescent="0.35">
      <c r="A9" t="s">
        <v>145</v>
      </c>
      <c r="B9" s="10" t="s">
        <v>14</v>
      </c>
      <c r="C9" s="11">
        <v>249872.47</v>
      </c>
      <c r="D9" s="13"/>
      <c r="E9" s="11">
        <v>44609.01</v>
      </c>
      <c r="F9" s="11">
        <v>1540561.5</v>
      </c>
      <c r="G9" s="11">
        <v>255606.44</v>
      </c>
      <c r="H9" s="11">
        <v>819727.88</v>
      </c>
      <c r="I9" s="11">
        <v>3624361.790000001</v>
      </c>
      <c r="J9" s="11">
        <v>141802.28364000001</v>
      </c>
      <c r="K9" s="11">
        <v>1666.67</v>
      </c>
      <c r="L9" s="12">
        <f t="shared" si="0"/>
        <v>5160855.99</v>
      </c>
      <c r="M9" s="11">
        <v>280717.52</v>
      </c>
      <c r="N9" s="13"/>
      <c r="O9" s="13"/>
      <c r="P9" s="11">
        <v>1619860.97</v>
      </c>
      <c r="Q9" s="11">
        <v>224494.47</v>
      </c>
      <c r="R9" s="11">
        <v>833255.1</v>
      </c>
      <c r="S9" s="11">
        <v>3941989.74</v>
      </c>
      <c r="T9" s="11">
        <v>149507.08974</v>
      </c>
      <c r="U9" s="11">
        <v>1666.67</v>
      </c>
      <c r="V9" s="12">
        <f t="shared" si="1"/>
        <v>5619740.4300000006</v>
      </c>
      <c r="W9" s="11">
        <v>2738941</v>
      </c>
      <c r="X9" s="11">
        <v>41004</v>
      </c>
      <c r="Y9" s="11">
        <v>10933.599999999999</v>
      </c>
      <c r="Z9" s="51">
        <f t="shared" si="18"/>
        <v>2790878.6</v>
      </c>
      <c r="AA9" s="11">
        <v>2826256</v>
      </c>
      <c r="AB9" s="11">
        <v>45017</v>
      </c>
      <c r="AC9" s="11">
        <v>137392.21</v>
      </c>
      <c r="AD9" s="51">
        <f t="shared" si="19"/>
        <v>3008665.21</v>
      </c>
      <c r="AE9" s="2">
        <v>975</v>
      </c>
      <c r="AF9">
        <v>1004</v>
      </c>
      <c r="AG9">
        <v>1029</v>
      </c>
      <c r="AH9" s="2">
        <f t="shared" si="20"/>
        <v>984.66666666666674</v>
      </c>
      <c r="AI9" s="2">
        <f t="shared" si="21"/>
        <v>1012.3333333333334</v>
      </c>
      <c r="AJ9" s="2">
        <v>50</v>
      </c>
      <c r="AK9" s="2">
        <v>51</v>
      </c>
      <c r="AL9" s="2">
        <v>53</v>
      </c>
      <c r="AM9" s="2">
        <f t="shared" si="22"/>
        <v>50.333333333333336</v>
      </c>
      <c r="AN9" s="2">
        <f t="shared" si="23"/>
        <v>51.666666666666671</v>
      </c>
      <c r="AO9" s="2">
        <v>66.3</v>
      </c>
      <c r="AP9" s="2">
        <v>67.599999999999994</v>
      </c>
      <c r="AQ9" s="2">
        <v>1959158.72</v>
      </c>
      <c r="AR9" s="2">
        <v>2088940.15</v>
      </c>
      <c r="AS9" s="2">
        <f t="shared" si="24"/>
        <v>2462.4921065862241</v>
      </c>
      <c r="AT9" s="2">
        <f t="shared" si="25"/>
        <v>2575.1234590729787</v>
      </c>
      <c r="AU9" s="2">
        <f>Alusharidus!AH9*2/3+Alusharidus!AL9*1/3</f>
        <v>0</v>
      </c>
      <c r="AV9" s="2">
        <f>Alusharidus!AL9*2/3+Alusharidus!AP9*1/3</f>
        <v>0</v>
      </c>
      <c r="AW9" s="18">
        <f t="shared" si="2"/>
        <v>0</v>
      </c>
      <c r="AX9" s="18">
        <f t="shared" si="3"/>
        <v>0</v>
      </c>
      <c r="AY9" s="40"/>
      <c r="AZ9" s="40"/>
      <c r="BF9" s="2">
        <f t="shared" si="4"/>
        <v>436.76844871360868</v>
      </c>
      <c r="BG9" s="2">
        <f t="shared" si="5"/>
        <v>306.73339454976309</v>
      </c>
      <c r="BH9" s="2">
        <f t="shared" si="6"/>
        <v>69.515449390656741</v>
      </c>
      <c r="BI9" s="2">
        <f t="shared" si="26"/>
        <v>60.519604773188846</v>
      </c>
      <c r="BJ9" s="2">
        <f t="shared" si="7"/>
        <v>462.60622571616727</v>
      </c>
      <c r="BK9" s="2">
        <f t="shared" si="8"/>
        <v>324.49701514652617</v>
      </c>
      <c r="BL9" s="2">
        <f t="shared" si="9"/>
        <v>68.729154593348696</v>
      </c>
      <c r="BM9" s="2">
        <f t="shared" si="27"/>
        <v>69.380055976292411</v>
      </c>
      <c r="BN9" s="2">
        <f t="shared" si="10"/>
        <v>200.57357735274203</v>
      </c>
      <c r="BO9" s="2">
        <f t="shared" si="11"/>
        <v>232.72466147596478</v>
      </c>
      <c r="BP9" s="2">
        <f t="shared" si="28"/>
        <v>3.4702098849018626</v>
      </c>
      <c r="BQ9" s="2">
        <f t="shared" si="12"/>
        <v>214.93869114257495</v>
      </c>
      <c r="BR9" s="2">
        <f t="shared" si="13"/>
        <v>243.96182169904509</v>
      </c>
      <c r="BS9" s="2">
        <f t="shared" si="29"/>
        <v>3.7057128745472312</v>
      </c>
      <c r="BT9" s="18">
        <f t="shared" si="30"/>
        <v>0.70227919496742253</v>
      </c>
      <c r="BU9" s="18">
        <f t="shared" si="31"/>
        <v>0.70145405986304599</v>
      </c>
      <c r="BV9" s="18">
        <f t="shared" si="14"/>
        <v>0.53283304268290577</v>
      </c>
      <c r="BW9" s="18">
        <f t="shared" si="15"/>
        <v>0.52736389641398429</v>
      </c>
      <c r="BX9" s="34">
        <f t="shared" si="16"/>
        <v>19.56291390728477</v>
      </c>
      <c r="BY9" s="34">
        <f t="shared" si="17"/>
        <v>19.593548387096774</v>
      </c>
      <c r="BZ9" s="34">
        <f t="shared" si="32"/>
        <v>14.851684263448972</v>
      </c>
      <c r="CA9" s="34">
        <f t="shared" si="33"/>
        <v>14.975345167652861</v>
      </c>
      <c r="CB9" s="29">
        <v>1.59</v>
      </c>
      <c r="CC9" s="2">
        <v>4347</v>
      </c>
      <c r="CD9" s="2">
        <v>4480.6000000000004</v>
      </c>
      <c r="CE9">
        <v>7121</v>
      </c>
      <c r="CF9" t="s">
        <v>233</v>
      </c>
      <c r="CG9" t="str">
        <f t="shared" si="34"/>
        <v>Keskus-tagamaaline</v>
      </c>
    </row>
    <row r="10" spans="1:85" ht="14.25" customHeight="1" x14ac:dyDescent="0.35">
      <c r="A10" t="s">
        <v>142</v>
      </c>
      <c r="B10" s="10" t="s">
        <v>15</v>
      </c>
      <c r="C10" s="11">
        <v>136937.69</v>
      </c>
      <c r="D10" s="13"/>
      <c r="E10" s="13"/>
      <c r="F10" s="11">
        <v>1002923.730000001</v>
      </c>
      <c r="G10" s="11">
        <v>123651.07</v>
      </c>
      <c r="H10" s="11">
        <v>2459.02</v>
      </c>
      <c r="I10" s="11">
        <v>5009663.0999999996</v>
      </c>
      <c r="J10" s="11">
        <v>368057.97660000005</v>
      </c>
      <c r="K10" s="11">
        <v>364337.91999999998</v>
      </c>
      <c r="L10" s="12">
        <f t="shared" si="0"/>
        <v>6390211.3700000001</v>
      </c>
      <c r="M10" s="11">
        <v>159635.22</v>
      </c>
      <c r="N10" s="11">
        <v>28.57</v>
      </c>
      <c r="O10" s="13"/>
      <c r="P10" s="11">
        <v>983583.42999999993</v>
      </c>
      <c r="Q10" s="11">
        <v>122762.45</v>
      </c>
      <c r="R10" s="11">
        <v>2559.6799999999998</v>
      </c>
      <c r="S10" s="11">
        <v>4722403.3</v>
      </c>
      <c r="T10" s="11">
        <v>422386.94478000002</v>
      </c>
      <c r="U10" s="11">
        <v>350180.12999999989</v>
      </c>
      <c r="V10" s="12">
        <f t="shared" si="1"/>
        <v>6093068.1999999993</v>
      </c>
      <c r="W10" s="11">
        <v>3710781</v>
      </c>
      <c r="X10" s="11">
        <v>65382</v>
      </c>
      <c r="Y10" s="11">
        <v>53063.16</v>
      </c>
      <c r="Z10" s="51">
        <f t="shared" si="18"/>
        <v>3829226.16</v>
      </c>
      <c r="AA10" s="11">
        <v>3852915</v>
      </c>
      <c r="AB10" s="11">
        <v>67439</v>
      </c>
      <c r="AC10" s="11">
        <v>207128.53000000003</v>
      </c>
      <c r="AD10" s="51">
        <f t="shared" si="19"/>
        <v>4127482.5300000003</v>
      </c>
      <c r="AE10" s="2">
        <v>1060</v>
      </c>
      <c r="AF10">
        <v>1092</v>
      </c>
      <c r="AG10">
        <v>1085</v>
      </c>
      <c r="AH10" s="2">
        <f t="shared" si="20"/>
        <v>1070.6666666666665</v>
      </c>
      <c r="AI10" s="2">
        <f t="shared" si="21"/>
        <v>1089.6666666666667</v>
      </c>
      <c r="AJ10" s="2">
        <v>71</v>
      </c>
      <c r="AK10" s="2">
        <v>73</v>
      </c>
      <c r="AL10" s="2">
        <v>77</v>
      </c>
      <c r="AM10" s="2">
        <f t="shared" si="22"/>
        <v>71.666666666666671</v>
      </c>
      <c r="AN10" s="2">
        <f t="shared" si="23"/>
        <v>74.333333333333329</v>
      </c>
      <c r="AO10" s="2">
        <v>100.76</v>
      </c>
      <c r="AP10" s="2">
        <v>105.44</v>
      </c>
      <c r="AQ10" s="2">
        <v>2682957.69</v>
      </c>
      <c r="AR10" s="2">
        <v>2671578.2599999998</v>
      </c>
      <c r="AS10" s="2">
        <f t="shared" si="24"/>
        <v>2218.9341752679634</v>
      </c>
      <c r="AT10" s="2">
        <f t="shared" si="25"/>
        <v>2111.4522161102682</v>
      </c>
      <c r="AU10" s="2">
        <f>Alusharidus!AH10*2/3+Alusharidus!AL10*1/3</f>
        <v>157.33333333333334</v>
      </c>
      <c r="AV10" s="2">
        <f>Alusharidus!AL10*2/3+Alusharidus!AP10*1/3</f>
        <v>147.66666666666666</v>
      </c>
      <c r="AW10" s="18">
        <f t="shared" si="2"/>
        <v>0.12812160694896854</v>
      </c>
      <c r="AX10" s="18">
        <f t="shared" si="3"/>
        <v>0.11934267241379308</v>
      </c>
      <c r="AY10" s="40"/>
      <c r="AZ10" s="40"/>
      <c r="BA10" s="25" t="s">
        <v>195</v>
      </c>
      <c r="BF10" s="2">
        <f t="shared" si="4"/>
        <v>497.37012531133263</v>
      </c>
      <c r="BG10" s="2">
        <f t="shared" si="5"/>
        <v>389.9177381693649</v>
      </c>
      <c r="BH10" s="2">
        <f t="shared" si="6"/>
        <v>28.548952366127029</v>
      </c>
      <c r="BI10" s="2">
        <f t="shared" si="26"/>
        <v>78.903434775840708</v>
      </c>
      <c r="BJ10" s="2">
        <f t="shared" si="7"/>
        <v>465.9734016518812</v>
      </c>
      <c r="BK10" s="2">
        <f t="shared" si="8"/>
        <v>361.15045120832059</v>
      </c>
      <c r="BL10" s="2">
        <f t="shared" si="9"/>
        <v>26.976124961761997</v>
      </c>
      <c r="BM10" s="2">
        <f t="shared" si="27"/>
        <v>77.846825481798618</v>
      </c>
      <c r="BN10" s="2">
        <f t="shared" si="10"/>
        <v>199.3294839663761</v>
      </c>
      <c r="BO10" s="2">
        <f t="shared" si="11"/>
        <v>292.95175591531762</v>
      </c>
      <c r="BP10" s="2">
        <f t="shared" si="28"/>
        <v>5.0888854296388786</v>
      </c>
      <c r="BQ10" s="2">
        <f t="shared" si="12"/>
        <v>150.32010324258172</v>
      </c>
      <c r="BR10" s="2">
        <f t="shared" si="13"/>
        <v>310.49583435301315</v>
      </c>
      <c r="BS10" s="2">
        <f t="shared" si="29"/>
        <v>5.1574640562863578</v>
      </c>
      <c r="BT10" s="18">
        <f t="shared" si="30"/>
        <v>0.78395890369429189</v>
      </c>
      <c r="BU10" s="18">
        <f t="shared" si="31"/>
        <v>0.77504520628868079</v>
      </c>
      <c r="BV10" s="18">
        <f t="shared" si="14"/>
        <v>0.58900151216750751</v>
      </c>
      <c r="BW10" s="18">
        <f t="shared" si="15"/>
        <v>0.66633810696555151</v>
      </c>
      <c r="BX10" s="34">
        <f t="shared" si="16"/>
        <v>14.939534883720928</v>
      </c>
      <c r="BY10" s="34">
        <f t="shared" si="17"/>
        <v>14.659192825112109</v>
      </c>
      <c r="BZ10" s="34">
        <f t="shared" si="32"/>
        <v>10.625909752547305</v>
      </c>
      <c r="CA10" s="34">
        <f t="shared" si="33"/>
        <v>10.334471421345475</v>
      </c>
      <c r="CB10" s="29">
        <v>1.7</v>
      </c>
      <c r="CC10" s="2">
        <v>2970</v>
      </c>
      <c r="CD10" s="2">
        <v>3618.1</v>
      </c>
      <c r="CE10">
        <v>7798</v>
      </c>
      <c r="CF10" t="s">
        <v>234</v>
      </c>
      <c r="CG10" t="str">
        <f t="shared" si="34"/>
        <v>Keskus-tagamaaline</v>
      </c>
    </row>
    <row r="11" spans="1:85" ht="14.25" customHeight="1" x14ac:dyDescent="0.35">
      <c r="A11" t="s">
        <v>141</v>
      </c>
      <c r="B11" s="10" t="s">
        <v>16</v>
      </c>
      <c r="C11" s="11">
        <v>127837.74</v>
      </c>
      <c r="D11" s="13"/>
      <c r="E11" s="13"/>
      <c r="F11" s="11">
        <v>905893.35000000009</v>
      </c>
      <c r="G11" s="11">
        <v>202493.86</v>
      </c>
      <c r="H11" s="11"/>
      <c r="I11" s="11">
        <v>4001858.51</v>
      </c>
      <c r="J11" s="11">
        <v>212932.98611999999</v>
      </c>
      <c r="K11" s="11">
        <v>136492.81</v>
      </c>
      <c r="L11" s="12">
        <f t="shared" si="0"/>
        <v>4969588.5499999989</v>
      </c>
      <c r="M11" s="11">
        <v>145977.19</v>
      </c>
      <c r="N11" s="13"/>
      <c r="O11" s="13"/>
      <c r="P11" s="11">
        <v>1037105.819999999</v>
      </c>
      <c r="Q11" s="11">
        <v>243957.7</v>
      </c>
      <c r="R11" s="11"/>
      <c r="S11" s="11">
        <v>4081036.689999999</v>
      </c>
      <c r="T11" s="11">
        <v>207976.07076</v>
      </c>
      <c r="U11" s="11">
        <v>137213.07</v>
      </c>
      <c r="V11" s="12">
        <f t="shared" si="1"/>
        <v>5157375.0699999984</v>
      </c>
      <c r="W11" s="11">
        <v>2784275</v>
      </c>
      <c r="X11" s="11">
        <v>124848</v>
      </c>
      <c r="Y11" s="11">
        <v>89212.160000000003</v>
      </c>
      <c r="Z11" s="51">
        <f t="shared" si="18"/>
        <v>2998335.16</v>
      </c>
      <c r="AA11" s="11">
        <v>2791296</v>
      </c>
      <c r="AB11" s="11">
        <v>127857</v>
      </c>
      <c r="AC11" s="11">
        <v>53195.989999999991</v>
      </c>
      <c r="AD11" s="51">
        <f t="shared" si="19"/>
        <v>2972348.99</v>
      </c>
      <c r="AE11" s="2">
        <v>823</v>
      </c>
      <c r="AF11">
        <v>796</v>
      </c>
      <c r="AG11">
        <v>810</v>
      </c>
      <c r="AH11" s="2">
        <f t="shared" si="20"/>
        <v>814</v>
      </c>
      <c r="AI11" s="2">
        <f t="shared" si="21"/>
        <v>800.66666666666663</v>
      </c>
      <c r="AJ11" s="2">
        <v>56</v>
      </c>
      <c r="AK11" s="2">
        <v>52</v>
      </c>
      <c r="AL11" s="2">
        <v>51</v>
      </c>
      <c r="AM11" s="2">
        <f t="shared" si="22"/>
        <v>54.666666666666671</v>
      </c>
      <c r="AN11" s="2">
        <f t="shared" si="23"/>
        <v>51.666666666666664</v>
      </c>
      <c r="AO11" s="2">
        <v>67.06</v>
      </c>
      <c r="AP11" s="2">
        <v>67.06</v>
      </c>
      <c r="AQ11" s="2">
        <v>1890297.45</v>
      </c>
      <c r="AR11" s="2">
        <v>1902649.2</v>
      </c>
      <c r="AS11" s="2">
        <f t="shared" si="24"/>
        <v>2349.0126379361764</v>
      </c>
      <c r="AT11" s="2">
        <f t="shared" si="25"/>
        <v>2364.3617655830599</v>
      </c>
      <c r="AU11" s="2">
        <f>Alusharidus!AH11*2/3+Alusharidus!AL11*1/3</f>
        <v>16.333333333333332</v>
      </c>
      <c r="AV11" s="2">
        <f>Alusharidus!AL11*2/3+Alusharidus!AP11*1/3</f>
        <v>11.333333333333332</v>
      </c>
      <c r="AW11" s="18">
        <f t="shared" si="2"/>
        <v>1.9670814933761539E-2</v>
      </c>
      <c r="AX11" s="18">
        <f t="shared" si="3"/>
        <v>1.3957307060755335E-2</v>
      </c>
      <c r="AY11" s="2">
        <f>L11*AW11</f>
        <v>97755.856663990329</v>
      </c>
      <c r="AZ11" s="2">
        <f>V11*AX11</f>
        <v>71983.067479474514</v>
      </c>
      <c r="BF11" s="2">
        <f t="shared" si="4"/>
        <v>498.75437073464451</v>
      </c>
      <c r="BG11" s="2">
        <f t="shared" si="5"/>
        <v>409.69067465192461</v>
      </c>
      <c r="BH11" s="2">
        <f t="shared" si="6"/>
        <v>13.973465397215397</v>
      </c>
      <c r="BI11" s="2">
        <f t="shared" si="26"/>
        <v>75.090230685504508</v>
      </c>
      <c r="BJ11" s="2">
        <f t="shared" si="7"/>
        <v>529.28726087848918</v>
      </c>
      <c r="BK11" s="2">
        <f t="shared" si="8"/>
        <v>424.7540268526227</v>
      </c>
      <c r="BL11" s="2">
        <f t="shared" si="9"/>
        <v>14.281127185678601</v>
      </c>
      <c r="BM11" s="2">
        <f t="shared" si="27"/>
        <v>90.252106840187878</v>
      </c>
      <c r="BN11" s="2">
        <f t="shared" si="10"/>
        <v>191.79950177477556</v>
      </c>
      <c r="BO11" s="2">
        <f t="shared" si="11"/>
        <v>294.17354217854216</v>
      </c>
      <c r="BP11" s="2">
        <f t="shared" si="28"/>
        <v>12.781326781326754</v>
      </c>
      <c r="BQ11" s="2">
        <f t="shared" si="12"/>
        <v>219.9253759908955</v>
      </c>
      <c r="BR11" s="2">
        <f t="shared" si="13"/>
        <v>296.05453684429648</v>
      </c>
      <c r="BS11" s="2">
        <f t="shared" si="29"/>
        <v>13.307348043297168</v>
      </c>
      <c r="BT11" s="18">
        <f t="shared" si="30"/>
        <v>0.82142773816391268</v>
      </c>
      <c r="BU11" s="18">
        <f t="shared" si="31"/>
        <v>0.80250188932874278</v>
      </c>
      <c r="BV11" s="18">
        <f t="shared" si="14"/>
        <v>0.58981646966870027</v>
      </c>
      <c r="BW11" s="18">
        <f t="shared" si="15"/>
        <v>0.55934566865054969</v>
      </c>
      <c r="BX11" s="34">
        <f t="shared" si="16"/>
        <v>14.890243902439023</v>
      </c>
      <c r="BY11" s="34">
        <f t="shared" si="17"/>
        <v>15.496774193548386</v>
      </c>
      <c r="BZ11" s="34">
        <f t="shared" si="32"/>
        <v>12.138383537130927</v>
      </c>
      <c r="CA11" s="34">
        <f t="shared" si="33"/>
        <v>11.939556615965801</v>
      </c>
      <c r="CB11" s="29">
        <v>1.92</v>
      </c>
      <c r="CC11" s="2">
        <v>4637</v>
      </c>
      <c r="CD11" s="2">
        <v>5184.8999999999996</v>
      </c>
      <c r="CE11">
        <v>6583</v>
      </c>
      <c r="CF11" t="s">
        <v>233</v>
      </c>
      <c r="CG11" t="str">
        <f t="shared" si="34"/>
        <v>Tagamaaline</v>
      </c>
    </row>
    <row r="12" spans="1:85" ht="14.25" customHeight="1" x14ac:dyDescent="0.35">
      <c r="A12" t="s">
        <v>140</v>
      </c>
      <c r="B12" s="10" t="s">
        <v>17</v>
      </c>
      <c r="C12" s="11">
        <v>37896.76</v>
      </c>
      <c r="D12" s="13"/>
      <c r="E12" s="11">
        <v>6954.56</v>
      </c>
      <c r="F12" s="11">
        <v>254709.39</v>
      </c>
      <c r="G12" s="11">
        <v>53711.100000000013</v>
      </c>
      <c r="H12" s="11"/>
      <c r="I12" s="11">
        <v>1358207.84</v>
      </c>
      <c r="J12" s="11">
        <v>74819.501580000011</v>
      </c>
      <c r="K12" s="11">
        <v>149309.39000000001</v>
      </c>
      <c r="L12" s="12">
        <f t="shared" si="0"/>
        <v>1746412.2800000003</v>
      </c>
      <c r="M12" s="11">
        <v>34883.599999999999</v>
      </c>
      <c r="N12" s="13"/>
      <c r="O12" s="11">
        <v>18362.849999999999</v>
      </c>
      <c r="P12" s="11">
        <v>243871.52</v>
      </c>
      <c r="Q12" s="11">
        <v>57507.519999999997</v>
      </c>
      <c r="R12" s="11"/>
      <c r="S12" s="11">
        <v>1369184.11</v>
      </c>
      <c r="T12" s="11">
        <v>74667.384360000011</v>
      </c>
      <c r="U12" s="11">
        <v>150121.48000000001</v>
      </c>
      <c r="V12" s="12">
        <f t="shared" si="1"/>
        <v>1740553.19</v>
      </c>
      <c r="W12" s="11">
        <v>894413</v>
      </c>
      <c r="X12" s="11">
        <v>81192</v>
      </c>
      <c r="Y12" s="11">
        <v>49285.09</v>
      </c>
      <c r="Z12" s="51">
        <f t="shared" si="18"/>
        <v>1024890.09</v>
      </c>
      <c r="AA12" s="11">
        <v>877238</v>
      </c>
      <c r="AB12" s="11">
        <v>92067</v>
      </c>
      <c r="AC12" s="11">
        <v>105627.37</v>
      </c>
      <c r="AD12" s="51">
        <f t="shared" si="19"/>
        <v>1074932.3700000001</v>
      </c>
      <c r="AE12" s="2">
        <v>227</v>
      </c>
      <c r="AF12">
        <v>213</v>
      </c>
      <c r="AG12">
        <v>208</v>
      </c>
      <c r="AH12" s="2">
        <f t="shared" si="20"/>
        <v>222.33333333333334</v>
      </c>
      <c r="AI12" s="2">
        <f t="shared" si="21"/>
        <v>211.33333333333331</v>
      </c>
      <c r="AJ12" s="2">
        <v>22</v>
      </c>
      <c r="AK12" s="2">
        <v>22</v>
      </c>
      <c r="AL12" s="2">
        <v>21</v>
      </c>
      <c r="AM12" s="2">
        <f t="shared" si="22"/>
        <v>22</v>
      </c>
      <c r="AN12" s="2">
        <f t="shared" si="23"/>
        <v>21.666666666666664</v>
      </c>
      <c r="AO12" s="2">
        <v>29</v>
      </c>
      <c r="AP12" s="2">
        <v>28.6</v>
      </c>
      <c r="AQ12" s="2">
        <v>665161.65</v>
      </c>
      <c r="AR12" s="2">
        <v>643022.69000000006</v>
      </c>
      <c r="AS12" s="2">
        <f t="shared" si="24"/>
        <v>1911.3840517241379</v>
      </c>
      <c r="AT12" s="2">
        <f t="shared" si="25"/>
        <v>1873.6092365967368</v>
      </c>
      <c r="AU12" s="2">
        <f>Alusharidus!AH12*2/3+Alusharidus!AL12*1/3</f>
        <v>0</v>
      </c>
      <c r="AV12" s="2">
        <f>Alusharidus!AL12*2/3+Alusharidus!AP12*1/3</f>
        <v>0</v>
      </c>
      <c r="AW12" s="18">
        <f t="shared" si="2"/>
        <v>0</v>
      </c>
      <c r="AX12" s="18">
        <f t="shared" si="3"/>
        <v>0</v>
      </c>
      <c r="AY12" s="40"/>
      <c r="AZ12" s="40"/>
      <c r="BF12" s="2">
        <f t="shared" si="4"/>
        <v>654.57731634182915</v>
      </c>
      <c r="BG12" s="2">
        <f t="shared" si="5"/>
        <v>509.0734032983508</v>
      </c>
      <c r="BH12" s="2">
        <f t="shared" si="6"/>
        <v>55.963039730134938</v>
      </c>
      <c r="BI12" s="2">
        <f t="shared" si="26"/>
        <v>89.540873313343411</v>
      </c>
      <c r="BJ12" s="2">
        <f t="shared" si="7"/>
        <v>686.33800867507887</v>
      </c>
      <c r="BK12" s="2">
        <f t="shared" si="8"/>
        <v>539.89909700315468</v>
      </c>
      <c r="BL12" s="2">
        <f t="shared" si="9"/>
        <v>59.196167192429037</v>
      </c>
      <c r="BM12" s="2">
        <f t="shared" si="27"/>
        <v>87.242744479495144</v>
      </c>
      <c r="BN12" s="2">
        <f t="shared" si="10"/>
        <v>270.43560344827597</v>
      </c>
      <c r="BO12" s="2">
        <f t="shared" si="11"/>
        <v>353.70992878560719</v>
      </c>
      <c r="BP12" s="2">
        <f t="shared" si="28"/>
        <v>30.431784107945987</v>
      </c>
      <c r="BQ12" s="2">
        <f t="shared" si="12"/>
        <v>262.46877760252363</v>
      </c>
      <c r="BR12" s="2">
        <f t="shared" si="13"/>
        <v>387.56520899053635</v>
      </c>
      <c r="BS12" s="2">
        <f t="shared" si="29"/>
        <v>36.304022082018889</v>
      </c>
      <c r="BT12" s="18">
        <f t="shared" si="30"/>
        <v>0.777713175493704</v>
      </c>
      <c r="BU12" s="18">
        <f t="shared" si="31"/>
        <v>0.78663732764179428</v>
      </c>
      <c r="BV12" s="18">
        <f t="shared" si="14"/>
        <v>0.5403638652838606</v>
      </c>
      <c r="BW12" s="18">
        <f t="shared" si="15"/>
        <v>0.56468562733207828</v>
      </c>
      <c r="BX12" s="34">
        <f t="shared" si="16"/>
        <v>10.106060606060607</v>
      </c>
      <c r="BY12" s="34">
        <f t="shared" si="17"/>
        <v>9.7538461538461547</v>
      </c>
      <c r="BZ12" s="34">
        <f t="shared" si="32"/>
        <v>7.666666666666667</v>
      </c>
      <c r="CA12" s="34">
        <f t="shared" si="33"/>
        <v>7.389277389277388</v>
      </c>
      <c r="CB12" s="29">
        <v>1.43</v>
      </c>
      <c r="CC12" s="2">
        <v>906.2</v>
      </c>
      <c r="CD12" s="2">
        <v>974</v>
      </c>
      <c r="CE12">
        <v>2441</v>
      </c>
      <c r="CF12" t="s">
        <v>234</v>
      </c>
      <c r="CG12" t="str">
        <f t="shared" si="34"/>
        <v>Keskus-tagamaaline</v>
      </c>
    </row>
    <row r="13" spans="1:85" ht="14.25" customHeight="1" x14ac:dyDescent="0.35">
      <c r="A13" t="s">
        <v>134</v>
      </c>
      <c r="B13" s="10" t="s">
        <v>18</v>
      </c>
      <c r="C13" s="11">
        <v>165228.18</v>
      </c>
      <c r="D13" s="11">
        <v>3.12</v>
      </c>
      <c r="E13" s="13"/>
      <c r="F13" s="11">
        <v>1340707.31</v>
      </c>
      <c r="G13" s="11">
        <v>377362.18</v>
      </c>
      <c r="H13" s="11"/>
      <c r="I13" s="11">
        <v>6916131.9999999981</v>
      </c>
      <c r="J13" s="11">
        <v>316115.47860000003</v>
      </c>
      <c r="K13" s="11">
        <v>298021.38</v>
      </c>
      <c r="L13" s="12">
        <f t="shared" si="0"/>
        <v>8342729.8099999987</v>
      </c>
      <c r="M13" s="11">
        <v>206848.61</v>
      </c>
      <c r="N13" s="11">
        <v>-45.92</v>
      </c>
      <c r="O13" s="13"/>
      <c r="P13" s="11">
        <v>1499824.3</v>
      </c>
      <c r="Q13" s="11">
        <v>369947.66</v>
      </c>
      <c r="R13" s="11"/>
      <c r="S13" s="11">
        <v>7325437.0199999996</v>
      </c>
      <c r="T13" s="11">
        <v>347667.04392000003</v>
      </c>
      <c r="U13" s="11">
        <v>314054.5</v>
      </c>
      <c r="V13" s="12">
        <f t="shared" si="1"/>
        <v>8976170.8499999996</v>
      </c>
      <c r="W13" s="11">
        <v>4974161</v>
      </c>
      <c r="X13" s="11">
        <v>380562</v>
      </c>
      <c r="Y13" s="11">
        <v>398482</v>
      </c>
      <c r="Z13" s="51">
        <f t="shared" si="18"/>
        <v>5753205</v>
      </c>
      <c r="AA13" s="11">
        <v>5148347</v>
      </c>
      <c r="AB13" s="11">
        <v>476003</v>
      </c>
      <c r="AC13" s="11">
        <v>711184.28</v>
      </c>
      <c r="AD13" s="51">
        <f t="shared" si="19"/>
        <v>6335534.2800000003</v>
      </c>
      <c r="AE13" s="2">
        <v>1723</v>
      </c>
      <c r="AF13">
        <v>1767</v>
      </c>
      <c r="AG13">
        <v>1834</v>
      </c>
      <c r="AH13" s="2">
        <f t="shared" si="20"/>
        <v>1737.6666666666667</v>
      </c>
      <c r="AI13" s="2">
        <f t="shared" si="21"/>
        <v>1789.3333333333335</v>
      </c>
      <c r="AJ13" s="2">
        <v>117</v>
      </c>
      <c r="AK13" s="2">
        <v>115</v>
      </c>
      <c r="AL13" s="2">
        <v>124</v>
      </c>
      <c r="AM13" s="2">
        <f t="shared" si="22"/>
        <v>116.33333333333334</v>
      </c>
      <c r="AN13" s="2">
        <f t="shared" si="23"/>
        <v>118</v>
      </c>
      <c r="AO13" s="2">
        <v>122.49</v>
      </c>
      <c r="AP13" s="2">
        <v>130.02000000000001</v>
      </c>
      <c r="AQ13" s="2">
        <v>3530083.65</v>
      </c>
      <c r="AR13" s="2">
        <v>3727294.57</v>
      </c>
      <c r="AS13" s="2">
        <f t="shared" si="24"/>
        <v>2401.6134990611476</v>
      </c>
      <c r="AT13" s="2">
        <f t="shared" si="25"/>
        <v>2388.9238642772902</v>
      </c>
      <c r="AU13" s="2">
        <f>Alusharidus!AH13*2/3+Alusharidus!AL13*1/3</f>
        <v>0</v>
      </c>
      <c r="AV13" s="2">
        <f>Alusharidus!AL13*2/3+Alusharidus!AP13*1/3</f>
        <v>0</v>
      </c>
      <c r="AW13" s="18">
        <f t="shared" si="2"/>
        <v>0</v>
      </c>
      <c r="AX13" s="18">
        <f t="shared" si="3"/>
        <v>0</v>
      </c>
      <c r="AY13" s="40"/>
      <c r="AZ13" s="40"/>
      <c r="BF13" s="2">
        <f t="shared" si="4"/>
        <v>400.09254795703038</v>
      </c>
      <c r="BG13" s="2">
        <f t="shared" si="5"/>
        <v>331.67715327066941</v>
      </c>
      <c r="BH13" s="2">
        <f t="shared" si="6"/>
        <v>14.292220410512181</v>
      </c>
      <c r="BI13" s="2">
        <f t="shared" si="26"/>
        <v>54.12317427584879</v>
      </c>
      <c r="BJ13" s="2">
        <f t="shared" si="7"/>
        <v>418.04074375931441</v>
      </c>
      <c r="BK13" s="2">
        <f t="shared" si="8"/>
        <v>341.16230532786881</v>
      </c>
      <c r="BL13" s="2">
        <f t="shared" si="9"/>
        <v>14.626234165424739</v>
      </c>
      <c r="BM13" s="2">
        <f t="shared" si="27"/>
        <v>62.252204266020861</v>
      </c>
      <c r="BN13" s="2">
        <f t="shared" si="10"/>
        <v>124.18592029541524</v>
      </c>
      <c r="BO13" s="2">
        <f t="shared" si="11"/>
        <v>257.65600422021868</v>
      </c>
      <c r="BP13" s="2">
        <f t="shared" si="28"/>
        <v>18.250623441396442</v>
      </c>
      <c r="BQ13" s="2">
        <f t="shared" si="12"/>
        <v>122.98046618852455</v>
      </c>
      <c r="BR13" s="2">
        <f t="shared" si="13"/>
        <v>272.89173248882264</v>
      </c>
      <c r="BS13" s="2">
        <f t="shared" si="29"/>
        <v>22.168545081967238</v>
      </c>
      <c r="BT13" s="18">
        <f t="shared" si="30"/>
        <v>0.82900107728647643</v>
      </c>
      <c r="BU13" s="18">
        <f t="shared" si="31"/>
        <v>0.8160982163123599</v>
      </c>
      <c r="BV13" s="18">
        <f t="shared" si="14"/>
        <v>0.6439910104196459</v>
      </c>
      <c r="BW13" s="18">
        <f t="shared" si="15"/>
        <v>0.65278740544471703</v>
      </c>
      <c r="BX13" s="34">
        <f t="shared" si="16"/>
        <v>14.936962750716331</v>
      </c>
      <c r="BY13" s="34">
        <f t="shared" si="17"/>
        <v>15.163841807909606</v>
      </c>
      <c r="BZ13" s="34">
        <f t="shared" si="32"/>
        <v>14.186192070100962</v>
      </c>
      <c r="CA13" s="34">
        <f t="shared" si="33"/>
        <v>13.761985335589397</v>
      </c>
      <c r="CB13" s="29">
        <v>1</v>
      </c>
      <c r="CC13" s="2">
        <v>1658.9</v>
      </c>
      <c r="CD13" s="2">
        <v>1786.7</v>
      </c>
      <c r="CE13">
        <v>16114</v>
      </c>
      <c r="CF13" t="s">
        <v>233</v>
      </c>
      <c r="CG13" t="str">
        <f t="shared" si="34"/>
        <v>Keskuslik</v>
      </c>
    </row>
    <row r="14" spans="1:85" ht="14.25" customHeight="1" x14ac:dyDescent="0.35">
      <c r="A14" t="s">
        <v>118</v>
      </c>
      <c r="B14" s="10" t="s">
        <v>19</v>
      </c>
      <c r="C14" s="11">
        <v>87101.09</v>
      </c>
      <c r="D14" s="13"/>
      <c r="E14" s="11">
        <v>258</v>
      </c>
      <c r="F14" s="11">
        <v>714887.05999999982</v>
      </c>
      <c r="G14" s="11">
        <v>119982.07</v>
      </c>
      <c r="H14" s="11"/>
      <c r="I14" s="11">
        <v>3258975.72</v>
      </c>
      <c r="J14" s="11">
        <v>166937.44320000001</v>
      </c>
      <c r="K14" s="11">
        <v>245587.19</v>
      </c>
      <c r="L14" s="12">
        <f t="shared" si="0"/>
        <v>4186568.9900000007</v>
      </c>
      <c r="M14" s="11">
        <v>118777.82</v>
      </c>
      <c r="N14" s="13"/>
      <c r="O14" s="11">
        <v>258</v>
      </c>
      <c r="P14" s="11">
        <v>801319.85999999975</v>
      </c>
      <c r="Q14" s="11">
        <v>23867.42</v>
      </c>
      <c r="R14" s="11"/>
      <c r="S14" s="11">
        <v>3317739.2500000009</v>
      </c>
      <c r="T14" s="11">
        <v>189912.52218</v>
      </c>
      <c r="U14" s="11">
        <v>247882.12</v>
      </c>
      <c r="V14" s="12">
        <f t="shared" si="1"/>
        <v>4461851.6300000008</v>
      </c>
      <c r="W14" s="11">
        <v>2298198</v>
      </c>
      <c r="X14" s="11">
        <v>87516</v>
      </c>
      <c r="Y14" s="11">
        <v>18406.64</v>
      </c>
      <c r="Z14" s="51">
        <f t="shared" si="18"/>
        <v>2404120.64</v>
      </c>
      <c r="AA14" s="11">
        <v>2330190</v>
      </c>
      <c r="AB14" s="11">
        <v>86764</v>
      </c>
      <c r="AC14" s="11">
        <v>33959.479999999996</v>
      </c>
      <c r="AD14" s="51">
        <f t="shared" si="19"/>
        <v>2450913.48</v>
      </c>
      <c r="AE14" s="2">
        <v>647</v>
      </c>
      <c r="AF14">
        <v>648</v>
      </c>
      <c r="AG14">
        <v>650</v>
      </c>
      <c r="AH14" s="2">
        <f t="shared" si="20"/>
        <v>647.33333333333326</v>
      </c>
      <c r="AI14" s="2">
        <f t="shared" si="21"/>
        <v>648.66666666666663</v>
      </c>
      <c r="AJ14" s="2">
        <v>45</v>
      </c>
      <c r="AK14" s="2">
        <v>48</v>
      </c>
      <c r="AL14" s="2">
        <v>52</v>
      </c>
      <c r="AM14" s="2">
        <f t="shared" si="22"/>
        <v>46</v>
      </c>
      <c r="AN14" s="2">
        <f t="shared" si="23"/>
        <v>49.333333333333329</v>
      </c>
      <c r="AO14" s="2">
        <v>62.59</v>
      </c>
      <c r="AP14" s="2">
        <v>60.71</v>
      </c>
      <c r="AQ14" s="2">
        <v>1575350.5</v>
      </c>
      <c r="AR14" s="2">
        <v>1579826.41</v>
      </c>
      <c r="AS14" s="2">
        <f t="shared" si="24"/>
        <v>2097.4470096394525</v>
      </c>
      <c r="AT14" s="2">
        <f t="shared" si="25"/>
        <v>2168.5422637676384</v>
      </c>
      <c r="AU14" s="2">
        <f>Alusharidus!AH14*2/3+Alusharidus!AL14*1/3</f>
        <v>145.66666666666666</v>
      </c>
      <c r="AV14" s="2">
        <f>Alusharidus!AL14*2/3+Alusharidus!AP14*1/3</f>
        <v>142.33333333333334</v>
      </c>
      <c r="AW14" s="18">
        <f t="shared" si="2"/>
        <v>0.18369062631357716</v>
      </c>
      <c r="AX14" s="18">
        <f t="shared" si="3"/>
        <v>0.17994100294985252</v>
      </c>
      <c r="AY14" s="40"/>
      <c r="AZ14" s="40"/>
      <c r="BA14" s="25" t="s">
        <v>195</v>
      </c>
      <c r="BF14" s="2">
        <f t="shared" si="4"/>
        <v>538.95069387229671</v>
      </c>
      <c r="BG14" s="2">
        <f t="shared" si="5"/>
        <v>419.53858393408865</v>
      </c>
      <c r="BH14" s="2">
        <f t="shared" si="6"/>
        <v>31.615240731204949</v>
      </c>
      <c r="BI14" s="2">
        <f t="shared" si="26"/>
        <v>87.796869207003112</v>
      </c>
      <c r="BJ14" s="2">
        <f t="shared" si="7"/>
        <v>573.20807168550891</v>
      </c>
      <c r="BK14" s="2">
        <f t="shared" si="8"/>
        <v>426.22549460431668</v>
      </c>
      <c r="BL14" s="2">
        <f t="shared" si="9"/>
        <v>31.845082219938337</v>
      </c>
      <c r="BM14" s="2">
        <f t="shared" si="27"/>
        <v>115.1374948612539</v>
      </c>
      <c r="BN14" s="2">
        <f t="shared" si="10"/>
        <v>229.46039521112266</v>
      </c>
      <c r="BO14" s="2">
        <f t="shared" si="11"/>
        <v>298.22407826982499</v>
      </c>
      <c r="BP14" s="2">
        <f t="shared" si="28"/>
        <v>11.266220391349066</v>
      </c>
      <c r="BQ14" s="2">
        <f t="shared" si="12"/>
        <v>258.3425167009251</v>
      </c>
      <c r="BR14" s="2">
        <f t="shared" si="13"/>
        <v>303.71910071942449</v>
      </c>
      <c r="BS14" s="2">
        <f t="shared" si="29"/>
        <v>11.146454265159321</v>
      </c>
      <c r="BT14" s="18">
        <f t="shared" si="30"/>
        <v>0.7784359287484236</v>
      </c>
      <c r="BU14" s="18">
        <f t="shared" si="31"/>
        <v>0.74357901721622244</v>
      </c>
      <c r="BV14" s="18">
        <f t="shared" si="14"/>
        <v>0.55334204345692628</v>
      </c>
      <c r="BW14" s="18">
        <f t="shared" si="15"/>
        <v>0.52985838079066727</v>
      </c>
      <c r="BX14" s="34">
        <f t="shared" si="16"/>
        <v>14.07246376811594</v>
      </c>
      <c r="BY14" s="34">
        <f t="shared" si="17"/>
        <v>13.148648648648649</v>
      </c>
      <c r="BZ14" s="34">
        <f t="shared" si="32"/>
        <v>10.342440219417371</v>
      </c>
      <c r="CA14" s="34">
        <f t="shared" si="33"/>
        <v>10.684675781035523</v>
      </c>
      <c r="CB14" s="29">
        <v>1.32</v>
      </c>
      <c r="CC14" s="2">
        <v>1809.8</v>
      </c>
      <c r="CD14" s="2">
        <v>2321.6999999999998</v>
      </c>
      <c r="CE14">
        <v>5456</v>
      </c>
      <c r="CF14" t="s">
        <v>234</v>
      </c>
      <c r="CG14" t="str">
        <f t="shared" si="34"/>
        <v>Keskus-tagamaaline</v>
      </c>
    </row>
    <row r="15" spans="1:85" ht="14.25" customHeight="1" x14ac:dyDescent="0.35">
      <c r="A15" t="s">
        <v>117</v>
      </c>
      <c r="B15" s="10" t="s">
        <v>20</v>
      </c>
      <c r="C15" s="11">
        <v>543911.28</v>
      </c>
      <c r="D15" s="11">
        <v>93.04</v>
      </c>
      <c r="E15" s="11">
        <v>23279.4</v>
      </c>
      <c r="F15" s="11">
        <v>3728602.29</v>
      </c>
      <c r="G15" s="11">
        <v>772233.89999999991</v>
      </c>
      <c r="H15" s="11">
        <v>70327.13</v>
      </c>
      <c r="I15" s="11">
        <v>17249556.09</v>
      </c>
      <c r="J15" s="11">
        <v>765927.03474000003</v>
      </c>
      <c r="K15" s="11">
        <v>1141184.05</v>
      </c>
      <c r="L15" s="12">
        <f t="shared" si="0"/>
        <v>21891112.850000001</v>
      </c>
      <c r="M15" s="11">
        <v>649715.11</v>
      </c>
      <c r="N15" s="11">
        <v>17.079999999999998</v>
      </c>
      <c r="O15" s="11">
        <v>34223.599999999999</v>
      </c>
      <c r="P15" s="11">
        <v>4159290.040000001</v>
      </c>
      <c r="Q15" s="11">
        <v>793025.96</v>
      </c>
      <c r="R15" s="11">
        <v>41172.36</v>
      </c>
      <c r="S15" s="11">
        <v>17934426.09</v>
      </c>
      <c r="T15" s="11">
        <v>757282.51109999977</v>
      </c>
      <c r="U15" s="11">
        <v>1241988.3899999999</v>
      </c>
      <c r="V15" s="12">
        <f t="shared" si="1"/>
        <v>23192410.75</v>
      </c>
      <c r="W15" s="11">
        <v>11017611</v>
      </c>
      <c r="X15" s="11">
        <v>183396</v>
      </c>
      <c r="Y15" s="11">
        <v>350649.91000000003</v>
      </c>
      <c r="Z15" s="51">
        <f t="shared" si="18"/>
        <v>11551656.91</v>
      </c>
      <c r="AA15" s="11">
        <v>10959229</v>
      </c>
      <c r="AB15" s="11">
        <v>204832</v>
      </c>
      <c r="AC15" s="11">
        <v>832826.61</v>
      </c>
      <c r="AD15" s="51">
        <f t="shared" si="19"/>
        <v>11996887.609999999</v>
      </c>
      <c r="AE15" s="2">
        <v>3886</v>
      </c>
      <c r="AF15">
        <v>3759</v>
      </c>
      <c r="AG15">
        <v>3886</v>
      </c>
      <c r="AH15" s="2">
        <f t="shared" si="20"/>
        <v>3843.6666666666665</v>
      </c>
      <c r="AI15" s="2">
        <f t="shared" si="21"/>
        <v>3801.333333333333</v>
      </c>
      <c r="AJ15" s="2">
        <v>215</v>
      </c>
      <c r="AK15" s="2">
        <v>220</v>
      </c>
      <c r="AL15" s="2">
        <v>224</v>
      </c>
      <c r="AM15" s="2">
        <f t="shared" si="22"/>
        <v>216.66666666666669</v>
      </c>
      <c r="AN15" s="2">
        <f t="shared" si="23"/>
        <v>221.33333333333331</v>
      </c>
      <c r="AO15" s="2">
        <v>297.52</v>
      </c>
      <c r="AP15" s="2">
        <v>302.24</v>
      </c>
      <c r="AQ15" s="2">
        <v>8751487.5000000037</v>
      </c>
      <c r="AR15" s="2">
        <v>8949618.5600000005</v>
      </c>
      <c r="AS15" s="2">
        <f t="shared" si="24"/>
        <v>2451.2322700994905</v>
      </c>
      <c r="AT15" s="2">
        <f t="shared" si="25"/>
        <v>2467.5805540850538</v>
      </c>
      <c r="AU15" s="2">
        <f>Alusharidus!AH15*2/3+Alusharidus!AL15*1/3</f>
        <v>459.33333333333337</v>
      </c>
      <c r="AV15" s="2">
        <f>Alusharidus!AL15*2/3+Alusharidus!AP15*1/3</f>
        <v>455.33333333333331</v>
      </c>
      <c r="AW15" s="18">
        <f t="shared" si="2"/>
        <v>0.10674723061430011</v>
      </c>
      <c r="AX15" s="18">
        <f t="shared" si="3"/>
        <v>0.10696945967110416</v>
      </c>
      <c r="AY15" s="40"/>
      <c r="AZ15" s="40"/>
      <c r="BA15" s="25" t="s">
        <v>195</v>
      </c>
      <c r="BF15" s="2">
        <f t="shared" si="4"/>
        <v>474.61436237099997</v>
      </c>
      <c r="BG15" s="2">
        <f t="shared" si="5"/>
        <v>373.98222378804962</v>
      </c>
      <c r="BH15" s="2">
        <f t="shared" si="6"/>
        <v>26.266394501777821</v>
      </c>
      <c r="BI15" s="2">
        <f t="shared" si="26"/>
        <v>74.365744081172522</v>
      </c>
      <c r="BJ15" s="2">
        <f t="shared" si="7"/>
        <v>508.42710342862159</v>
      </c>
      <c r="BK15" s="2">
        <f t="shared" si="8"/>
        <v>393.16086658190108</v>
      </c>
      <c r="BL15" s="2">
        <f t="shared" si="9"/>
        <v>28.129620089442302</v>
      </c>
      <c r="BM15" s="2">
        <f t="shared" si="27"/>
        <v>87.136616757278219</v>
      </c>
      <c r="BN15" s="2">
        <f t="shared" si="10"/>
        <v>224.16650637412195</v>
      </c>
      <c r="BO15" s="2">
        <f t="shared" si="11"/>
        <v>246.47170475240657</v>
      </c>
      <c r="BP15" s="2">
        <f t="shared" si="28"/>
        <v>3.9761512444714526</v>
      </c>
      <c r="BQ15" s="2">
        <f t="shared" si="12"/>
        <v>245.42974263416349</v>
      </c>
      <c r="BR15" s="2">
        <f t="shared" si="13"/>
        <v>258.50700653279551</v>
      </c>
      <c r="BS15" s="2">
        <f t="shared" si="29"/>
        <v>4.4903542616626169</v>
      </c>
      <c r="BT15" s="18">
        <f t="shared" si="30"/>
        <v>0.78797072621184716</v>
      </c>
      <c r="BU15" s="18">
        <f t="shared" si="31"/>
        <v>0.77328856768371945</v>
      </c>
      <c r="BV15" s="18">
        <f t="shared" si="14"/>
        <v>0.5193094105309497</v>
      </c>
      <c r="BW15" s="18">
        <f t="shared" si="15"/>
        <v>0.50844458289011629</v>
      </c>
      <c r="BX15" s="34">
        <f t="shared" si="16"/>
        <v>17.739999999999998</v>
      </c>
      <c r="BY15" s="34">
        <f t="shared" si="17"/>
        <v>17.174698795180724</v>
      </c>
      <c r="BZ15" s="34">
        <f t="shared" si="32"/>
        <v>12.919019449672851</v>
      </c>
      <c r="CA15" s="34">
        <f t="shared" si="33"/>
        <v>12.577201341097581</v>
      </c>
      <c r="CB15" s="29">
        <v>1.1100000000000001</v>
      </c>
      <c r="CC15" s="2">
        <v>2068</v>
      </c>
      <c r="CD15" s="2">
        <v>1994.8</v>
      </c>
      <c r="CE15">
        <v>24078</v>
      </c>
      <c r="CF15" t="s">
        <v>232</v>
      </c>
      <c r="CG15" t="str">
        <f t="shared" si="34"/>
        <v>Keskuslik</v>
      </c>
    </row>
    <row r="16" spans="1:85" ht="14.25" customHeight="1" x14ac:dyDescent="0.35">
      <c r="A16" t="s">
        <v>109</v>
      </c>
      <c r="B16" s="10" t="s">
        <v>21</v>
      </c>
      <c r="C16" s="11">
        <v>326309.55</v>
      </c>
      <c r="D16" s="13"/>
      <c r="E16" s="11">
        <v>833</v>
      </c>
      <c r="F16" s="11">
        <v>2152815.9899999988</v>
      </c>
      <c r="G16" s="11">
        <v>294098.15999999997</v>
      </c>
      <c r="H16" s="11">
        <v>223703.44</v>
      </c>
      <c r="I16" s="11">
        <v>7451274.1100000003</v>
      </c>
      <c r="J16" s="11">
        <v>432473.00286000001</v>
      </c>
      <c r="K16" s="11">
        <v>372326.9</v>
      </c>
      <c r="L16" s="12">
        <f t="shared" si="0"/>
        <v>10008628.389999999</v>
      </c>
      <c r="M16" s="11">
        <v>540680.89</v>
      </c>
      <c r="N16" s="13"/>
      <c r="O16" s="13"/>
      <c r="P16" s="11">
        <v>3039840.29</v>
      </c>
      <c r="Q16" s="11">
        <v>253939.06</v>
      </c>
      <c r="R16" s="11">
        <v>178491.41</v>
      </c>
      <c r="S16" s="11">
        <v>7516389.3600000003</v>
      </c>
      <c r="T16" s="11">
        <v>425856.12456000003</v>
      </c>
      <c r="U16" s="11">
        <v>909751.79</v>
      </c>
      <c r="V16" s="12">
        <f t="shared" si="1"/>
        <v>11752723.270000001</v>
      </c>
      <c r="W16" s="11">
        <v>5517203</v>
      </c>
      <c r="X16" s="11">
        <v>150580</v>
      </c>
      <c r="Y16" s="11">
        <v>128515.83000000002</v>
      </c>
      <c r="Z16" s="51">
        <f t="shared" si="18"/>
        <v>5796298.8300000001</v>
      </c>
      <c r="AA16" s="11">
        <v>5772573</v>
      </c>
      <c r="AB16" s="11">
        <v>142197</v>
      </c>
      <c r="AC16" s="11">
        <v>337015.73</v>
      </c>
      <c r="AD16" s="51">
        <f t="shared" si="19"/>
        <v>6251785.7300000004</v>
      </c>
      <c r="AE16" s="2">
        <v>1860</v>
      </c>
      <c r="AF16">
        <v>1865</v>
      </c>
      <c r="AG16">
        <v>1908</v>
      </c>
      <c r="AH16" s="2">
        <f t="shared" si="20"/>
        <v>1861.6666666666665</v>
      </c>
      <c r="AI16" s="2">
        <f t="shared" si="21"/>
        <v>1879.3333333333333</v>
      </c>
      <c r="AJ16" s="2">
        <v>92</v>
      </c>
      <c r="AK16" s="2">
        <v>97</v>
      </c>
      <c r="AL16" s="2">
        <v>100</v>
      </c>
      <c r="AM16" s="2">
        <f t="shared" si="22"/>
        <v>93.666666666666671</v>
      </c>
      <c r="AN16" s="2">
        <f t="shared" si="23"/>
        <v>98</v>
      </c>
      <c r="AO16" s="2">
        <v>146.88</v>
      </c>
      <c r="AP16" s="2">
        <v>151.43</v>
      </c>
      <c r="AQ16" s="2">
        <v>4149768</v>
      </c>
      <c r="AR16" s="2">
        <v>4169517.61</v>
      </c>
      <c r="AS16" s="2">
        <f t="shared" si="24"/>
        <v>2354.3981481481483</v>
      </c>
      <c r="AT16" s="2">
        <f t="shared" si="25"/>
        <v>2294.5242081049551</v>
      </c>
      <c r="AU16" s="2">
        <f>Alusharidus!AH16*2/3+Alusharidus!AL16*1/3</f>
        <v>130</v>
      </c>
      <c r="AV16" s="2">
        <f>Alusharidus!AL16*2/3+Alusharidus!AP16*1/3</f>
        <v>125.33333333333334</v>
      </c>
      <c r="AW16" s="18">
        <f t="shared" si="2"/>
        <v>6.5271966527196662E-2</v>
      </c>
      <c r="AX16" s="18">
        <f t="shared" si="3"/>
        <v>6.2520784835384119E-2</v>
      </c>
      <c r="AY16" s="40"/>
      <c r="AZ16" s="40"/>
      <c r="BA16" s="25" t="s">
        <v>195</v>
      </c>
      <c r="BF16" s="2">
        <f t="shared" si="4"/>
        <v>448.01380438675022</v>
      </c>
      <c r="BG16" s="2">
        <f t="shared" si="5"/>
        <v>333.53957520143246</v>
      </c>
      <c r="BH16" s="2">
        <f t="shared" si="6"/>
        <v>26.679961504028654</v>
      </c>
      <c r="BI16" s="2">
        <f t="shared" si="26"/>
        <v>87.794267681289114</v>
      </c>
      <c r="BJ16" s="2">
        <f t="shared" si="7"/>
        <v>521.13884666548427</v>
      </c>
      <c r="BK16" s="2">
        <f t="shared" si="8"/>
        <v>333.29147570060309</v>
      </c>
      <c r="BL16" s="2">
        <f t="shared" si="9"/>
        <v>48.254842142603763</v>
      </c>
      <c r="BM16" s="2">
        <f t="shared" si="27"/>
        <v>139.59252882227742</v>
      </c>
      <c r="BN16" s="2">
        <f t="shared" si="10"/>
        <v>188.55548612354517</v>
      </c>
      <c r="BO16" s="2">
        <f t="shared" si="11"/>
        <v>252.71794225604299</v>
      </c>
      <c r="BP16" s="2">
        <f t="shared" si="28"/>
        <v>6.7403760071620695</v>
      </c>
      <c r="BQ16" s="2">
        <f t="shared" si="12"/>
        <v>243.92238116353323</v>
      </c>
      <c r="BR16" s="2">
        <f t="shared" si="13"/>
        <v>270.91117107130191</v>
      </c>
      <c r="BS16" s="2">
        <f t="shared" si="29"/>
        <v>6.3052944306490986</v>
      </c>
      <c r="BT16" s="18">
        <f t="shared" si="30"/>
        <v>0.74448504027233653</v>
      </c>
      <c r="BU16" s="18">
        <f t="shared" si="31"/>
        <v>0.63954448576070322</v>
      </c>
      <c r="BV16" s="18">
        <f t="shared" si="14"/>
        <v>0.56408516831745426</v>
      </c>
      <c r="BW16" s="18">
        <f t="shared" si="15"/>
        <v>0.51984451515125307</v>
      </c>
      <c r="BX16" s="34">
        <f t="shared" si="16"/>
        <v>19.87544483985765</v>
      </c>
      <c r="BY16" s="34">
        <f t="shared" si="17"/>
        <v>19.176870748299319</v>
      </c>
      <c r="BZ16" s="34">
        <f t="shared" si="32"/>
        <v>12.674745824255627</v>
      </c>
      <c r="CA16" s="34">
        <f t="shared" si="33"/>
        <v>12.410574743005569</v>
      </c>
      <c r="CB16" s="29">
        <v>1.1299999999999999</v>
      </c>
      <c r="CC16" s="2">
        <v>3500.9</v>
      </c>
      <c r="CD16" s="2">
        <v>3471.8</v>
      </c>
      <c r="CE16">
        <v>12032</v>
      </c>
      <c r="CF16" t="s">
        <v>232</v>
      </c>
      <c r="CG16" t="str">
        <f t="shared" si="34"/>
        <v>Keskuslik</v>
      </c>
    </row>
    <row r="17" spans="1:85" ht="14.25" customHeight="1" x14ac:dyDescent="0.35">
      <c r="A17" t="s">
        <v>108</v>
      </c>
      <c r="B17" s="10" t="s">
        <v>22</v>
      </c>
      <c r="C17" s="14">
        <f>418958.45+227979.2</f>
        <v>646937.65</v>
      </c>
      <c r="D17" s="11">
        <v>-30</v>
      </c>
      <c r="E17" s="14">
        <f>6214898-6161600</f>
        <v>53298</v>
      </c>
      <c r="F17" s="14">
        <f>3276692.81+1164542.4</f>
        <v>4441235.21</v>
      </c>
      <c r="G17" s="11">
        <v>938163.02</v>
      </c>
      <c r="H17" s="14">
        <f>345560.81+418490.5</f>
        <v>764051.31</v>
      </c>
      <c r="I17" s="14">
        <f>7907112.83+4769078.4</f>
        <v>12676191.23</v>
      </c>
      <c r="J17" s="11">
        <v>518079.23298000003</v>
      </c>
      <c r="K17" s="14">
        <f>688145.13+158617.46</f>
        <v>846762.59</v>
      </c>
      <c r="L17" s="12">
        <f t="shared" si="0"/>
        <v>17672933.66</v>
      </c>
      <c r="M17" s="14">
        <f>497866.22+273860</f>
        <v>771726.22</v>
      </c>
      <c r="N17" s="11">
        <v>106.59</v>
      </c>
      <c r="O17" s="14">
        <f>6908998-6846500</f>
        <v>62498</v>
      </c>
      <c r="P17" s="14">
        <f>3503248.79+1430918.5</f>
        <v>4934167.29</v>
      </c>
      <c r="Q17" s="11">
        <v>990837.53</v>
      </c>
      <c r="R17" s="14">
        <f>367812.84+541134</f>
        <v>908946.84000000008</v>
      </c>
      <c r="S17" s="14">
        <f>7988306.27+5141721.5</f>
        <v>13130027.77</v>
      </c>
      <c r="T17" s="11">
        <v>538059.25248000002</v>
      </c>
      <c r="U17" s="14">
        <f>679791.39+156956.4</f>
        <v>836747.79</v>
      </c>
      <c r="V17" s="12">
        <f t="shared" si="1"/>
        <v>18681938.129999995</v>
      </c>
      <c r="W17" s="11">
        <v>9664320</v>
      </c>
      <c r="X17" s="11">
        <v>110862</v>
      </c>
      <c r="Y17" s="14">
        <f>280988.48+9300.57</f>
        <v>290289.05</v>
      </c>
      <c r="Z17" s="51">
        <f t="shared" si="18"/>
        <v>10065471.050000001</v>
      </c>
      <c r="AA17" s="11">
        <v>9886354</v>
      </c>
      <c r="AB17" s="11">
        <v>137111</v>
      </c>
      <c r="AC17" s="14">
        <f>513421.04+39267.67</f>
        <v>552688.71</v>
      </c>
      <c r="AD17" s="51">
        <f t="shared" si="19"/>
        <v>10576153.710000001</v>
      </c>
      <c r="AE17" s="2">
        <v>3069</v>
      </c>
      <c r="AF17">
        <v>3089</v>
      </c>
      <c r="AG17">
        <v>3143</v>
      </c>
      <c r="AH17" s="2">
        <f t="shared" si="20"/>
        <v>3075.666666666667</v>
      </c>
      <c r="AI17" s="2">
        <f t="shared" si="21"/>
        <v>3107</v>
      </c>
      <c r="AJ17" s="2">
        <v>185</v>
      </c>
      <c r="AK17" s="2">
        <v>191</v>
      </c>
      <c r="AL17" s="2">
        <v>196</v>
      </c>
      <c r="AM17" s="2">
        <f t="shared" si="22"/>
        <v>187</v>
      </c>
      <c r="AN17" s="2">
        <f t="shared" si="23"/>
        <v>192.66666666666666</v>
      </c>
      <c r="AO17" s="2">
        <v>158.83000000000001</v>
      </c>
      <c r="AP17" s="2">
        <v>156.74</v>
      </c>
      <c r="AQ17" s="2">
        <v>4642572.96</v>
      </c>
      <c r="AR17" s="2">
        <v>4597816.1000000006</v>
      </c>
      <c r="AS17" s="2">
        <f t="shared" si="24"/>
        <v>2435.81867405402</v>
      </c>
      <c r="AT17" s="2">
        <f t="shared" si="25"/>
        <v>2444.5026264301819</v>
      </c>
      <c r="AU17" s="2">
        <f>Alusharidus!AH17*2/3+Alusharidus!AL17*1/3</f>
        <v>209</v>
      </c>
      <c r="AV17" s="2">
        <f>Alusharidus!AL17*2/3+Alusharidus!AP17*1/3</f>
        <v>200.33333333333334</v>
      </c>
      <c r="AW17" s="18">
        <f t="shared" si="2"/>
        <v>6.3628983154049107E-2</v>
      </c>
      <c r="AX17" s="18">
        <f t="shared" si="3"/>
        <v>6.0572465228784518E-2</v>
      </c>
      <c r="AY17" s="40"/>
      <c r="AZ17" s="40"/>
      <c r="BA17" s="25" t="s">
        <v>195</v>
      </c>
      <c r="BF17" s="2">
        <f t="shared" si="4"/>
        <v>478.83747859542638</v>
      </c>
      <c r="BG17" s="2">
        <f t="shared" si="5"/>
        <v>343.45375609623926</v>
      </c>
      <c r="BH17" s="2">
        <f t="shared" si="6"/>
        <v>43.644031104367606</v>
      </c>
      <c r="BI17" s="2">
        <f t="shared" si="26"/>
        <v>91.739691394819516</v>
      </c>
      <c r="BJ17" s="2">
        <f t="shared" si="7"/>
        <v>501.0711868361762</v>
      </c>
      <c r="BK17" s="2">
        <f t="shared" si="8"/>
        <v>352.16253003969535</v>
      </c>
      <c r="BL17" s="2">
        <f t="shared" si="9"/>
        <v>46.821548921789514</v>
      </c>
      <c r="BM17" s="2">
        <f t="shared" si="27"/>
        <v>102.08710787469133</v>
      </c>
      <c r="BN17" s="2">
        <f t="shared" si="10"/>
        <v>206.11961119540476</v>
      </c>
      <c r="BO17" s="2">
        <f t="shared" si="11"/>
        <v>269.71412837325244</v>
      </c>
      <c r="BP17" s="2">
        <f t="shared" si="28"/>
        <v>3.0037390267692103</v>
      </c>
      <c r="BQ17" s="2">
        <f t="shared" si="12"/>
        <v>217.40651271322804</v>
      </c>
      <c r="BR17" s="2">
        <f t="shared" si="13"/>
        <v>279.98719853020066</v>
      </c>
      <c r="BS17" s="2">
        <f t="shared" si="29"/>
        <v>3.6774755927474985</v>
      </c>
      <c r="BT17" s="18">
        <f t="shared" si="30"/>
        <v>0.71726581867336681</v>
      </c>
      <c r="BU17" s="18">
        <f t="shared" si="31"/>
        <v>0.70281935838955734</v>
      </c>
      <c r="BV17" s="18">
        <f t="shared" si="14"/>
        <v>0.56326862543091794</v>
      </c>
      <c r="BW17" s="18">
        <f t="shared" si="15"/>
        <v>0.5587772873113569</v>
      </c>
      <c r="BX17" s="34">
        <f t="shared" si="16"/>
        <v>16.447415329768273</v>
      </c>
      <c r="BY17" s="34">
        <f t="shared" si="17"/>
        <v>16.126297577854672</v>
      </c>
      <c r="BZ17" s="34">
        <f t="shared" si="32"/>
        <v>19.364519717097945</v>
      </c>
      <c r="CA17" s="34">
        <f t="shared" si="33"/>
        <v>19.822636212836542</v>
      </c>
      <c r="CB17" s="29">
        <v>1.28</v>
      </c>
      <c r="CC17" s="2">
        <v>2327.4</v>
      </c>
      <c r="CD17" s="2">
        <v>2506.9</v>
      </c>
      <c r="CE17">
        <v>26035</v>
      </c>
      <c r="CF17" t="s">
        <v>232</v>
      </c>
      <c r="CG17" t="s">
        <v>232</v>
      </c>
    </row>
    <row r="18" spans="1:85" ht="14.25" customHeight="1" x14ac:dyDescent="0.35">
      <c r="A18" t="s">
        <v>97</v>
      </c>
      <c r="B18" s="10" t="s">
        <v>23</v>
      </c>
      <c r="C18" s="11">
        <v>613067.15</v>
      </c>
      <c r="D18" s="11">
        <v>132.68</v>
      </c>
      <c r="E18" s="13"/>
      <c r="F18" s="11">
        <v>4008490.819999998</v>
      </c>
      <c r="G18" s="11">
        <v>922141.84000000008</v>
      </c>
      <c r="H18" s="11">
        <v>473039.34</v>
      </c>
      <c r="I18" s="11">
        <v>12756962.050000001</v>
      </c>
      <c r="J18" s="11">
        <v>671591.43839999998</v>
      </c>
      <c r="K18" s="11">
        <v>552102.75</v>
      </c>
      <c r="L18" s="12">
        <f t="shared" si="0"/>
        <v>17008613.609999999</v>
      </c>
      <c r="M18" s="11">
        <v>686721.96</v>
      </c>
      <c r="N18" s="11">
        <v>4437.97</v>
      </c>
      <c r="O18" s="13"/>
      <c r="P18" s="11">
        <v>4271618.26</v>
      </c>
      <c r="Q18" s="11">
        <v>946020.08</v>
      </c>
      <c r="R18" s="11">
        <v>501190.05</v>
      </c>
      <c r="S18" s="11">
        <v>13247695.04000001</v>
      </c>
      <c r="T18" s="11">
        <v>807267.82284000015</v>
      </c>
      <c r="U18" s="11">
        <v>563989.63000000012</v>
      </c>
      <c r="V18" s="12">
        <f t="shared" si="1"/>
        <v>17828442.780000012</v>
      </c>
      <c r="W18" s="11">
        <v>7845452</v>
      </c>
      <c r="X18" s="11">
        <v>167154.96</v>
      </c>
      <c r="Y18" s="11">
        <v>730240.12000000011</v>
      </c>
      <c r="Z18" s="51">
        <f t="shared" si="18"/>
        <v>8742847.0800000001</v>
      </c>
      <c r="AA18" s="11">
        <v>8373818</v>
      </c>
      <c r="AB18" s="11">
        <v>178992.2</v>
      </c>
      <c r="AC18" s="11">
        <v>897646.51</v>
      </c>
      <c r="AD18" s="51">
        <f t="shared" si="19"/>
        <v>9450456.709999999</v>
      </c>
      <c r="AE18" s="2">
        <v>2655</v>
      </c>
      <c r="AF18">
        <v>2719</v>
      </c>
      <c r="AG18">
        <v>2736</v>
      </c>
      <c r="AH18" s="2">
        <f t="shared" si="20"/>
        <v>2676.3333333333335</v>
      </c>
      <c r="AI18" s="2">
        <f t="shared" si="21"/>
        <v>2724.666666666667</v>
      </c>
      <c r="AJ18" s="2">
        <v>160</v>
      </c>
      <c r="AK18" s="2">
        <v>160</v>
      </c>
      <c r="AL18" s="2">
        <v>165</v>
      </c>
      <c r="AM18" s="2">
        <f t="shared" si="22"/>
        <v>160</v>
      </c>
      <c r="AN18" s="2">
        <f t="shared" si="23"/>
        <v>161.66666666666669</v>
      </c>
      <c r="AO18" s="2">
        <v>233.73</v>
      </c>
      <c r="AP18" s="2">
        <v>240.55</v>
      </c>
      <c r="AQ18" s="2">
        <v>6700151.96</v>
      </c>
      <c r="AR18" s="2">
        <v>6816942.0600000015</v>
      </c>
      <c r="AS18" s="2">
        <f t="shared" si="24"/>
        <v>2388.8503686589943</v>
      </c>
      <c r="AT18" s="2">
        <f t="shared" si="25"/>
        <v>2361.5818125129913</v>
      </c>
      <c r="AU18" s="2">
        <f>Alusharidus!AH18*2/3+Alusharidus!AL18*1/3</f>
        <v>33.333333333333336</v>
      </c>
      <c r="AV18" s="2">
        <f>Alusharidus!AL18*2/3+Alusharidus!AP18*1/3</f>
        <v>31.666666666666664</v>
      </c>
      <c r="AW18" s="18">
        <f t="shared" si="2"/>
        <v>1.2301636117603642E-2</v>
      </c>
      <c r="AX18" s="18">
        <f t="shared" si="3"/>
        <v>1.1488692707703469E-2</v>
      </c>
      <c r="AY18" s="37">
        <f>(L18-I18-1178016.85)*AW18</f>
        <v>37810.73576085618</v>
      </c>
      <c r="AZ18" s="37">
        <f>(V18-S18-1278356.29)*AX18</f>
        <v>37940.160569597305</v>
      </c>
      <c r="BB18" s="25" t="s">
        <v>195</v>
      </c>
      <c r="BC18" s="25" t="s">
        <v>195</v>
      </c>
      <c r="BD18" s="25" t="s">
        <v>195</v>
      </c>
      <c r="BE18" t="s">
        <v>251</v>
      </c>
      <c r="BF18" s="2">
        <f t="shared" si="4"/>
        <v>528.42205985300609</v>
      </c>
      <c r="BG18" s="2">
        <f t="shared" si="5"/>
        <v>397.21515911072362</v>
      </c>
      <c r="BH18" s="2">
        <f t="shared" si="6"/>
        <v>31.919980383609417</v>
      </c>
      <c r="BI18" s="2">
        <f t="shared" si="26"/>
        <v>99.286920358673058</v>
      </c>
      <c r="BJ18" s="2">
        <f t="shared" si="7"/>
        <v>544.11862672591189</v>
      </c>
      <c r="BK18" s="2">
        <f t="shared" si="8"/>
        <v>405.17785172498196</v>
      </c>
      <c r="BL18" s="2">
        <f t="shared" si="9"/>
        <v>32.578287252263273</v>
      </c>
      <c r="BM18" s="2">
        <f t="shared" si="27"/>
        <v>106.36248774866667</v>
      </c>
      <c r="BN18" s="2">
        <f t="shared" si="10"/>
        <v>256.19491201392276</v>
      </c>
      <c r="BO18" s="2">
        <f t="shared" si="11"/>
        <v>267.0224224685515</v>
      </c>
      <c r="BP18" s="2">
        <f t="shared" si="28"/>
        <v>5.2047253705318326</v>
      </c>
      <c r="BQ18" s="2">
        <f t="shared" si="12"/>
        <v>255.07847777802837</v>
      </c>
      <c r="BR18" s="2">
        <f t="shared" si="13"/>
        <v>283.56571170785412</v>
      </c>
      <c r="BS18" s="2">
        <f t="shared" si="29"/>
        <v>5.4744372400293742</v>
      </c>
      <c r="BT18" s="18">
        <f t="shared" si="30"/>
        <v>0.75170056151936393</v>
      </c>
      <c r="BU18" s="18">
        <f t="shared" si="31"/>
        <v>0.74464984623487562</v>
      </c>
      <c r="BV18" s="18">
        <f t="shared" si="14"/>
        <v>0.50532035423129484</v>
      </c>
      <c r="BW18" s="18">
        <f t="shared" si="15"/>
        <v>0.52114685618122447</v>
      </c>
      <c r="BX18" s="34">
        <f t="shared" si="16"/>
        <v>16.727083333333333</v>
      </c>
      <c r="BY18" s="34">
        <f t="shared" si="17"/>
        <v>16.853608247422681</v>
      </c>
      <c r="BZ18" s="34">
        <f t="shared" si="32"/>
        <v>11.450534092043528</v>
      </c>
      <c r="CA18" s="34">
        <f t="shared" si="33"/>
        <v>11.326820480842514</v>
      </c>
      <c r="CB18" s="29">
        <v>1</v>
      </c>
      <c r="CC18" s="2">
        <v>2332.6</v>
      </c>
      <c r="CD18" s="2">
        <v>2310.6999999999998</v>
      </c>
      <c r="CE18">
        <v>22944</v>
      </c>
      <c r="CF18" t="s">
        <v>232</v>
      </c>
      <c r="CG18" t="str">
        <f>IF(CB18&lt;=1.25,"Keskuslik",IF(CB18&lt;=1.75,"Keskus-tagamaaline","Tagamaaline"))</f>
        <v>Keskuslik</v>
      </c>
    </row>
    <row r="19" spans="1:85" ht="14.25" customHeight="1" x14ac:dyDescent="0.35">
      <c r="A19" t="s">
        <v>138</v>
      </c>
      <c r="B19" s="10" t="s">
        <v>24</v>
      </c>
      <c r="C19" s="11">
        <v>252022.73</v>
      </c>
      <c r="D19" s="11">
        <v>1781.58</v>
      </c>
      <c r="E19" s="11">
        <v>4100</v>
      </c>
      <c r="F19" s="11">
        <v>2007072.310000001</v>
      </c>
      <c r="G19" s="11">
        <v>454398.12</v>
      </c>
      <c r="H19" s="11">
        <v>9912.5</v>
      </c>
      <c r="I19" s="11">
        <v>7408295.7699999996</v>
      </c>
      <c r="J19" s="11">
        <v>461360.07498000003</v>
      </c>
      <c r="K19" s="11">
        <v>440307.86</v>
      </c>
      <c r="L19" s="12">
        <f t="shared" si="0"/>
        <v>9655082.1300000008</v>
      </c>
      <c r="M19" s="11">
        <v>314282.23999999999</v>
      </c>
      <c r="N19" s="11">
        <v>9.9999999999999992E-2</v>
      </c>
      <c r="O19" s="11">
        <v>5800</v>
      </c>
      <c r="P19" s="11">
        <v>2271361.58</v>
      </c>
      <c r="Q19" s="11">
        <v>465916.61</v>
      </c>
      <c r="R19" s="11">
        <v>13567.44</v>
      </c>
      <c r="S19" s="11">
        <v>7660198.6000000006</v>
      </c>
      <c r="T19" s="11">
        <v>491350.51542000007</v>
      </c>
      <c r="U19" s="11">
        <v>564262.55000000005</v>
      </c>
      <c r="V19" s="12">
        <f t="shared" si="1"/>
        <v>10344188.460000001</v>
      </c>
      <c r="W19" s="11">
        <v>5112557</v>
      </c>
      <c r="X19" s="11">
        <v>141081</v>
      </c>
      <c r="Y19" s="11">
        <v>151837.32</v>
      </c>
      <c r="Z19" s="51">
        <f t="shared" si="18"/>
        <v>5405475.3200000003</v>
      </c>
      <c r="AA19" s="11">
        <v>5191513</v>
      </c>
      <c r="AB19" s="11">
        <v>130916</v>
      </c>
      <c r="AC19" s="11">
        <v>366861.24</v>
      </c>
      <c r="AD19" s="51">
        <f t="shared" si="19"/>
        <v>5689290.2400000002</v>
      </c>
      <c r="AE19" s="2">
        <v>1221</v>
      </c>
      <c r="AF19">
        <v>1228</v>
      </c>
      <c r="AG19">
        <v>1233</v>
      </c>
      <c r="AH19" s="2">
        <f t="shared" si="20"/>
        <v>1223.3333333333333</v>
      </c>
      <c r="AI19" s="2">
        <f t="shared" si="21"/>
        <v>1229.6666666666665</v>
      </c>
      <c r="AJ19" s="2">
        <v>111</v>
      </c>
      <c r="AK19" s="2">
        <v>109</v>
      </c>
      <c r="AL19" s="2">
        <v>108</v>
      </c>
      <c r="AM19" s="2">
        <f t="shared" si="22"/>
        <v>110.33333333333334</v>
      </c>
      <c r="AN19" s="2">
        <f t="shared" si="23"/>
        <v>108.66666666666667</v>
      </c>
      <c r="AO19" s="2">
        <v>139.34</v>
      </c>
      <c r="AP19" s="2">
        <v>146.9</v>
      </c>
      <c r="AQ19" s="2">
        <v>3554424.14</v>
      </c>
      <c r="AR19" s="2">
        <v>3598146.49</v>
      </c>
      <c r="AS19" s="2">
        <f t="shared" si="24"/>
        <v>2125.7500478446009</v>
      </c>
      <c r="AT19" s="2">
        <f t="shared" si="25"/>
        <v>2041.1541241207171</v>
      </c>
      <c r="AU19" s="2">
        <f>Alusharidus!AH19*2/3+Alusharidus!AL19*1/3</f>
        <v>288</v>
      </c>
      <c r="AV19" s="2">
        <f>Alusharidus!AL19*2/3+Alusharidus!AP19*1/3</f>
        <v>215</v>
      </c>
      <c r="AW19" s="18">
        <f t="shared" si="2"/>
        <v>0.1905602117335686</v>
      </c>
      <c r="AX19" s="18">
        <f t="shared" si="3"/>
        <v>0.14882325796031382</v>
      </c>
      <c r="AY19" s="40"/>
      <c r="AZ19" s="40"/>
      <c r="BA19" s="25" t="s">
        <v>195</v>
      </c>
      <c r="BF19" s="2">
        <f t="shared" si="4"/>
        <v>657.70314237057232</v>
      </c>
      <c r="BG19" s="2">
        <f t="shared" si="5"/>
        <v>504.65230040871938</v>
      </c>
      <c r="BH19" s="2">
        <f t="shared" si="6"/>
        <v>30.668961852861035</v>
      </c>
      <c r="BI19" s="2">
        <f t="shared" si="26"/>
        <v>122.38188010899191</v>
      </c>
      <c r="BJ19" s="2">
        <f t="shared" si="7"/>
        <v>701.01575359175933</v>
      </c>
      <c r="BK19" s="2">
        <f t="shared" si="8"/>
        <v>519.12432908647338</v>
      </c>
      <c r="BL19" s="2">
        <f t="shared" si="9"/>
        <v>39.15898549742478</v>
      </c>
      <c r="BM19" s="2">
        <f t="shared" si="27"/>
        <v>142.73243900786116</v>
      </c>
      <c r="BN19" s="2">
        <f t="shared" si="10"/>
        <v>289.48275272479572</v>
      </c>
      <c r="BO19" s="2">
        <f t="shared" si="11"/>
        <v>358.60996730245233</v>
      </c>
      <c r="BP19" s="2">
        <f t="shared" si="28"/>
        <v>9.6104223433242737</v>
      </c>
      <c r="BQ19" s="2">
        <f t="shared" si="12"/>
        <v>315.45799810246689</v>
      </c>
      <c r="BR19" s="2">
        <f t="shared" si="13"/>
        <v>376.68570344266749</v>
      </c>
      <c r="BS19" s="2">
        <f t="shared" si="29"/>
        <v>8.8720520466249582</v>
      </c>
      <c r="BT19" s="18">
        <f t="shared" si="30"/>
        <v>0.76729495101664136</v>
      </c>
      <c r="BU19" s="18">
        <f t="shared" si="31"/>
        <v>0.7405316163390937</v>
      </c>
      <c r="BV19" s="18">
        <f t="shared" si="14"/>
        <v>0.54524593878312244</v>
      </c>
      <c r="BW19" s="18">
        <f t="shared" si="15"/>
        <v>0.53734270808132589</v>
      </c>
      <c r="BX19" s="34">
        <f t="shared" si="16"/>
        <v>11.087613293051358</v>
      </c>
      <c r="BY19" s="34">
        <f t="shared" si="17"/>
        <v>11.315950920245397</v>
      </c>
      <c r="BZ19" s="34">
        <f t="shared" si="32"/>
        <v>8.7794842352040572</v>
      </c>
      <c r="CA19" s="34">
        <f t="shared" si="33"/>
        <v>8.3707737690038559</v>
      </c>
      <c r="CB19" s="29">
        <v>1.69</v>
      </c>
      <c r="CC19" s="2">
        <v>2924.5</v>
      </c>
      <c r="CD19" s="2">
        <v>3064.3</v>
      </c>
      <c r="CE19">
        <v>13820</v>
      </c>
      <c r="CF19" t="s">
        <v>234</v>
      </c>
      <c r="CG19" t="str">
        <f>IF(CB19&lt;=1.25,"Keskuslik",IF(CB19&lt;=1.75,"Keskus-tagamaaline","Tagamaaline"))</f>
        <v>Keskus-tagamaaline</v>
      </c>
    </row>
    <row r="20" spans="1:85" ht="14.25" customHeight="1" x14ac:dyDescent="0.35">
      <c r="A20" t="s">
        <v>158</v>
      </c>
      <c r="B20" s="10" t="s">
        <v>25</v>
      </c>
      <c r="C20" s="11">
        <v>129620.71</v>
      </c>
      <c r="D20" s="11">
        <v>432.5</v>
      </c>
      <c r="E20" s="13"/>
      <c r="F20" s="11">
        <v>834185.86000000022</v>
      </c>
      <c r="G20" s="11">
        <v>62532.43</v>
      </c>
      <c r="H20" s="11"/>
      <c r="I20" s="11">
        <v>3726400.56</v>
      </c>
      <c r="J20" s="11">
        <v>222265.08120000002</v>
      </c>
      <c r="K20" s="11">
        <v>479529.23</v>
      </c>
      <c r="L20" s="12">
        <f t="shared" si="0"/>
        <v>5107636.43</v>
      </c>
      <c r="M20" s="11">
        <v>175346.85</v>
      </c>
      <c r="N20" s="11">
        <v>-432.7</v>
      </c>
      <c r="O20" s="13"/>
      <c r="P20" s="11">
        <v>994501.51</v>
      </c>
      <c r="Q20" s="11">
        <v>67363.86</v>
      </c>
      <c r="R20" s="11"/>
      <c r="S20" s="11">
        <v>3640027.459999999</v>
      </c>
      <c r="T20" s="11">
        <v>227475.21306000001</v>
      </c>
      <c r="U20" s="11">
        <v>460405</v>
      </c>
      <c r="V20" s="12">
        <f t="shared" si="1"/>
        <v>5202484.2599999988</v>
      </c>
      <c r="W20" s="11">
        <v>3003431</v>
      </c>
      <c r="X20" s="11">
        <v>18870</v>
      </c>
      <c r="Y20" s="11">
        <v>172162.17</v>
      </c>
      <c r="Z20" s="51">
        <f t="shared" si="18"/>
        <v>3194463.17</v>
      </c>
      <c r="AA20" s="11">
        <v>2848415</v>
      </c>
      <c r="AB20" s="11">
        <v>26978</v>
      </c>
      <c r="AC20" s="11">
        <v>234313.77</v>
      </c>
      <c r="AD20" s="51">
        <f t="shared" si="19"/>
        <v>3109706.77</v>
      </c>
      <c r="AE20" s="2">
        <v>691</v>
      </c>
      <c r="AF20">
        <v>640</v>
      </c>
      <c r="AG20">
        <v>644</v>
      </c>
      <c r="AH20" s="2">
        <f t="shared" si="20"/>
        <v>674</v>
      </c>
      <c r="AI20" s="2">
        <f t="shared" si="21"/>
        <v>641.33333333333337</v>
      </c>
      <c r="AJ20" s="2">
        <v>73</v>
      </c>
      <c r="AK20" s="2">
        <v>75</v>
      </c>
      <c r="AL20" s="2">
        <v>72</v>
      </c>
      <c r="AM20" s="2">
        <f t="shared" si="22"/>
        <v>73.666666666666657</v>
      </c>
      <c r="AN20" s="2">
        <f t="shared" si="23"/>
        <v>74</v>
      </c>
      <c r="AO20" s="2">
        <v>85.23</v>
      </c>
      <c r="AP20" s="2">
        <v>85.56</v>
      </c>
      <c r="AQ20" s="2">
        <v>2023177.23</v>
      </c>
      <c r="AR20" s="2">
        <v>1981670.07</v>
      </c>
      <c r="AS20" s="2">
        <f t="shared" si="24"/>
        <v>1978.154435058078</v>
      </c>
      <c r="AT20" s="2">
        <f t="shared" si="25"/>
        <v>1930.0978553062178</v>
      </c>
      <c r="AU20" s="2">
        <f>Alusharidus!AH20*2/3+Alusharidus!AL20*1/3</f>
        <v>20.666666666666664</v>
      </c>
      <c r="AV20" s="2">
        <f>Alusharidus!AL20*2/3+Alusharidus!AP20*1/3</f>
        <v>19</v>
      </c>
      <c r="AW20" s="18">
        <f t="shared" si="2"/>
        <v>2.9750479846449133E-2</v>
      </c>
      <c r="AX20" s="18">
        <f t="shared" si="3"/>
        <v>2.8773346794548207E-2</v>
      </c>
      <c r="AY20" s="40"/>
      <c r="AZ20" s="40"/>
      <c r="BA20" s="25" t="s">
        <v>195</v>
      </c>
      <c r="BF20" s="2">
        <f t="shared" si="4"/>
        <v>631.50796612265083</v>
      </c>
      <c r="BG20" s="2">
        <f t="shared" si="5"/>
        <v>460.73201780415434</v>
      </c>
      <c r="BH20" s="2">
        <f t="shared" si="6"/>
        <v>59.288975024727989</v>
      </c>
      <c r="BI20" s="2">
        <f t="shared" si="26"/>
        <v>111.4869732937685</v>
      </c>
      <c r="BJ20" s="2">
        <f t="shared" si="7"/>
        <v>675.99847453222435</v>
      </c>
      <c r="BK20" s="2">
        <f t="shared" si="8"/>
        <v>472.97654106029091</v>
      </c>
      <c r="BL20" s="2">
        <f t="shared" si="9"/>
        <v>59.823934511434508</v>
      </c>
      <c r="BM20" s="2">
        <f t="shared" si="27"/>
        <v>143.19799896049892</v>
      </c>
      <c r="BN20" s="2">
        <f t="shared" si="10"/>
        <v>236.54466617210679</v>
      </c>
      <c r="BO20" s="2">
        <f t="shared" si="11"/>
        <v>392.63021389713157</v>
      </c>
      <c r="BP20" s="2">
        <f t="shared" si="28"/>
        <v>2.3330860534125009</v>
      </c>
      <c r="BQ20" s="2">
        <f t="shared" si="12"/>
        <v>271.93054703742183</v>
      </c>
      <c r="BR20" s="2">
        <f t="shared" si="13"/>
        <v>400.5624701143451</v>
      </c>
      <c r="BS20" s="2">
        <f t="shared" si="29"/>
        <v>3.5054573804574147</v>
      </c>
      <c r="BT20" s="18">
        <f t="shared" si="30"/>
        <v>0.72957435617632638</v>
      </c>
      <c r="BU20" s="18">
        <f t="shared" si="31"/>
        <v>0.69967101832231204</v>
      </c>
      <c r="BV20" s="18">
        <f t="shared" si="14"/>
        <v>0.62173438018179383</v>
      </c>
      <c r="BW20" s="18">
        <f t="shared" si="15"/>
        <v>0.59254936986584961</v>
      </c>
      <c r="BX20" s="34">
        <f t="shared" si="16"/>
        <v>9.149321266968327</v>
      </c>
      <c r="BY20" s="34">
        <f t="shared" si="17"/>
        <v>8.6666666666666679</v>
      </c>
      <c r="BZ20" s="34">
        <f t="shared" si="32"/>
        <v>7.9080136102311389</v>
      </c>
      <c r="CA20" s="34">
        <f t="shared" si="33"/>
        <v>7.4957145083372296</v>
      </c>
      <c r="CB20" s="29">
        <v>1.73</v>
      </c>
      <c r="CC20" s="2">
        <v>3933.9</v>
      </c>
      <c r="CD20" s="2">
        <v>4403.6000000000004</v>
      </c>
      <c r="CE20">
        <v>9778</v>
      </c>
      <c r="CF20" t="s">
        <v>232</v>
      </c>
      <c r="CG20" t="s">
        <v>232</v>
      </c>
    </row>
    <row r="21" spans="1:85" ht="14.25" customHeight="1" x14ac:dyDescent="0.35">
      <c r="A21" t="s">
        <v>153</v>
      </c>
      <c r="B21" s="10" t="s">
        <v>26</v>
      </c>
      <c r="C21" s="11">
        <v>111256.13</v>
      </c>
      <c r="D21" s="13"/>
      <c r="E21" s="13"/>
      <c r="F21" s="11">
        <v>909697.21</v>
      </c>
      <c r="G21" s="11">
        <v>262553.15000000002</v>
      </c>
      <c r="H21" s="11"/>
      <c r="I21" s="11">
        <v>5254546.5</v>
      </c>
      <c r="J21" s="11">
        <v>174527.46228000001</v>
      </c>
      <c r="K21" s="11">
        <v>785124.04999999993</v>
      </c>
      <c r="L21" s="12">
        <f t="shared" si="0"/>
        <v>6798070.7399999993</v>
      </c>
      <c r="M21" s="11">
        <v>85501.569999999992</v>
      </c>
      <c r="N21" s="11">
        <v>220.8</v>
      </c>
      <c r="O21" s="13"/>
      <c r="P21" s="11">
        <v>889079.3</v>
      </c>
      <c r="Q21" s="11">
        <v>306740.78000000003</v>
      </c>
      <c r="R21" s="11"/>
      <c r="S21" s="11">
        <v>5470918.3600000013</v>
      </c>
      <c r="T21" s="11">
        <v>234510.7917</v>
      </c>
      <c r="U21" s="11">
        <v>805524.71</v>
      </c>
      <c r="V21" s="12">
        <f t="shared" si="1"/>
        <v>6944503.9600000009</v>
      </c>
      <c r="W21" s="11">
        <v>3484798</v>
      </c>
      <c r="X21" s="11">
        <v>273258</v>
      </c>
      <c r="Y21" s="11">
        <v>1129982.54</v>
      </c>
      <c r="Z21" s="51">
        <f t="shared" si="18"/>
        <v>4888038.54</v>
      </c>
      <c r="AA21" s="11">
        <v>3521983</v>
      </c>
      <c r="AB21" s="11">
        <v>298878</v>
      </c>
      <c r="AC21" s="11">
        <v>1192848.97</v>
      </c>
      <c r="AD21" s="51">
        <f t="shared" si="19"/>
        <v>5013709.97</v>
      </c>
      <c r="AE21" s="2">
        <v>1121</v>
      </c>
      <c r="AF21">
        <v>1099</v>
      </c>
      <c r="AG21">
        <v>1148</v>
      </c>
      <c r="AH21" s="2">
        <f t="shared" si="20"/>
        <v>1113.6666666666667</v>
      </c>
      <c r="AI21" s="2">
        <f t="shared" si="21"/>
        <v>1115.3333333333333</v>
      </c>
      <c r="AJ21" s="2">
        <v>65</v>
      </c>
      <c r="AK21" s="2">
        <v>66</v>
      </c>
      <c r="AL21" s="2">
        <v>69</v>
      </c>
      <c r="AM21" s="2">
        <f t="shared" si="22"/>
        <v>65.333333333333343</v>
      </c>
      <c r="AN21" s="2">
        <f t="shared" si="23"/>
        <v>67</v>
      </c>
      <c r="AO21" s="2">
        <v>87.84</v>
      </c>
      <c r="AP21" s="2">
        <v>80.850000000000009</v>
      </c>
      <c r="AQ21" s="2">
        <v>3076605.53</v>
      </c>
      <c r="AR21" s="2">
        <v>3026335.84</v>
      </c>
      <c r="AS21" s="2">
        <f t="shared" si="24"/>
        <v>2918.7590410595017</v>
      </c>
      <c r="AT21" s="2">
        <f t="shared" si="25"/>
        <v>3119.2907029478451</v>
      </c>
      <c r="AU21" s="2">
        <f>Alusharidus!AH21*2/3+Alusharidus!AL21*1/3</f>
        <v>0</v>
      </c>
      <c r="AV21" s="2">
        <f>Alusharidus!AL21*2/3+Alusharidus!AP21*1/3</f>
        <v>0</v>
      </c>
      <c r="AW21" s="18">
        <f t="shared" si="2"/>
        <v>0</v>
      </c>
      <c r="AX21" s="18">
        <f t="shared" si="3"/>
        <v>0</v>
      </c>
      <c r="AY21" s="40"/>
      <c r="AZ21" s="40"/>
      <c r="BF21" s="2">
        <f t="shared" si="4"/>
        <v>508.6853292427416</v>
      </c>
      <c r="BG21" s="2">
        <f t="shared" si="5"/>
        <v>393.18665818617177</v>
      </c>
      <c r="BH21" s="2">
        <f t="shared" si="6"/>
        <v>58.749180634540551</v>
      </c>
      <c r="BI21" s="2">
        <f t="shared" si="26"/>
        <v>56.749490422029282</v>
      </c>
      <c r="BJ21" s="2">
        <f t="shared" si="7"/>
        <v>518.86610579796786</v>
      </c>
      <c r="BK21" s="2">
        <f t="shared" si="8"/>
        <v>408.76556784219974</v>
      </c>
      <c r="BL21" s="2">
        <f t="shared" si="9"/>
        <v>60.185647788404061</v>
      </c>
      <c r="BM21" s="2">
        <f t="shared" si="27"/>
        <v>49.914890167364057</v>
      </c>
      <c r="BN21" s="2">
        <f t="shared" si="10"/>
        <v>142.92369051182274</v>
      </c>
      <c r="BO21" s="2">
        <f t="shared" si="11"/>
        <v>345.31431756958995</v>
      </c>
      <c r="BP21" s="2">
        <f t="shared" si="28"/>
        <v>20.447321161328944</v>
      </c>
      <c r="BQ21" s="2">
        <f t="shared" si="12"/>
        <v>144.26135609683215</v>
      </c>
      <c r="BR21" s="2">
        <f t="shared" si="13"/>
        <v>352.27375747160789</v>
      </c>
      <c r="BS21" s="2">
        <f t="shared" si="29"/>
        <v>22.330992229527794</v>
      </c>
      <c r="BT21" s="18">
        <f t="shared" si="30"/>
        <v>0.7729467228227167</v>
      </c>
      <c r="BU21" s="18">
        <f t="shared" si="31"/>
        <v>0.78780549215785889</v>
      </c>
      <c r="BV21" s="18">
        <f t="shared" si="14"/>
        <v>0.67883679303990307</v>
      </c>
      <c r="BW21" s="18">
        <f t="shared" si="15"/>
        <v>0.67892998508708446</v>
      </c>
      <c r="BX21" s="34">
        <f t="shared" si="16"/>
        <v>17.045918367346939</v>
      </c>
      <c r="BY21" s="34">
        <f t="shared" si="17"/>
        <v>16.646766169154226</v>
      </c>
      <c r="BZ21" s="34">
        <f t="shared" si="32"/>
        <v>12.67835458409229</v>
      </c>
      <c r="CA21" s="34">
        <f t="shared" si="33"/>
        <v>13.795093795093793</v>
      </c>
      <c r="CB21" s="29">
        <v>1.06</v>
      </c>
      <c r="CC21" s="2">
        <v>1394.4</v>
      </c>
      <c r="CD21" s="2">
        <v>1508.1</v>
      </c>
      <c r="CE21">
        <v>11323</v>
      </c>
      <c r="CF21" t="s">
        <v>234</v>
      </c>
      <c r="CG21" t="str">
        <f>IF(CB21&lt;=1.25,"Keskuslik",IF(CB21&lt;=1.75,"Keskus-tagamaaline","Tagamaaline"))</f>
        <v>Keskuslik</v>
      </c>
    </row>
    <row r="22" spans="1:85" ht="14.25" customHeight="1" x14ac:dyDescent="0.35">
      <c r="A22" t="s">
        <v>143</v>
      </c>
      <c r="B22" s="10" t="s">
        <v>27</v>
      </c>
      <c r="C22" s="11">
        <v>208107.15</v>
      </c>
      <c r="D22" s="11">
        <v>0.04</v>
      </c>
      <c r="E22" s="11">
        <v>117958</v>
      </c>
      <c r="F22" s="11">
        <v>1506700.1500000011</v>
      </c>
      <c r="G22" s="11">
        <v>368100.78</v>
      </c>
      <c r="H22" s="11"/>
      <c r="I22" s="11">
        <v>11501861.67</v>
      </c>
      <c r="J22" s="11">
        <v>546912.43722000008</v>
      </c>
      <c r="K22" s="11">
        <v>1007688.65</v>
      </c>
      <c r="L22" s="12">
        <f t="shared" si="0"/>
        <v>13856256.880000003</v>
      </c>
      <c r="M22" s="11">
        <v>236575.06</v>
      </c>
      <c r="N22" s="11">
        <v>149.84</v>
      </c>
      <c r="O22" s="11">
        <v>20500</v>
      </c>
      <c r="P22" s="11">
        <v>1627964.23</v>
      </c>
      <c r="Q22" s="11">
        <v>393920.47</v>
      </c>
      <c r="R22" s="11"/>
      <c r="S22" s="11">
        <v>10944407.42</v>
      </c>
      <c r="T22" s="11">
        <v>483090.13157999999</v>
      </c>
      <c r="U22" s="11">
        <v>1004584.54</v>
      </c>
      <c r="V22" s="12">
        <f t="shared" si="1"/>
        <v>13419760.619999999</v>
      </c>
      <c r="W22" s="11">
        <v>7445026</v>
      </c>
      <c r="X22" s="11">
        <v>296616</v>
      </c>
      <c r="Y22" s="11">
        <v>2034007.2399999988</v>
      </c>
      <c r="Z22" s="51">
        <f t="shared" si="18"/>
        <v>9775649.2399999984</v>
      </c>
      <c r="AA22" s="11">
        <v>7242855</v>
      </c>
      <c r="AB22" s="11">
        <v>262581</v>
      </c>
      <c r="AC22" s="11">
        <v>2274493.34</v>
      </c>
      <c r="AD22" s="51">
        <f t="shared" si="19"/>
        <v>9779929.3399999999</v>
      </c>
      <c r="AE22" s="2">
        <v>2422</v>
      </c>
      <c r="AF22">
        <v>2145</v>
      </c>
      <c r="AG22">
        <v>2011</v>
      </c>
      <c r="AH22" s="2">
        <f t="shared" si="20"/>
        <v>2329.666666666667</v>
      </c>
      <c r="AI22" s="2">
        <f t="shared" si="21"/>
        <v>2100.3333333333335</v>
      </c>
      <c r="AJ22" s="2">
        <v>170</v>
      </c>
      <c r="AK22" s="2">
        <v>143</v>
      </c>
      <c r="AL22" s="2">
        <v>142</v>
      </c>
      <c r="AM22" s="2">
        <f t="shared" si="22"/>
        <v>161</v>
      </c>
      <c r="AN22" s="2">
        <f t="shared" si="23"/>
        <v>142.66666666666666</v>
      </c>
      <c r="AO22" s="2">
        <v>212.85</v>
      </c>
      <c r="AP22" s="2">
        <v>187.57</v>
      </c>
      <c r="AQ22" s="2">
        <v>6142897.8399999999</v>
      </c>
      <c r="AR22" s="2">
        <v>5695610.3799999999</v>
      </c>
      <c r="AS22" s="2">
        <f t="shared" si="24"/>
        <v>2405.0183384229895</v>
      </c>
      <c r="AT22" s="2">
        <f t="shared" si="25"/>
        <v>2530.4376943718789</v>
      </c>
      <c r="AU22" s="2">
        <f>Alusharidus!AH22*2/3+Alusharidus!AL22*1/3</f>
        <v>0</v>
      </c>
      <c r="AV22" s="2">
        <f>Alusharidus!AL22*2/3+Alusharidus!AP22*1/3</f>
        <v>0</v>
      </c>
      <c r="AW22" s="18">
        <f t="shared" si="2"/>
        <v>0</v>
      </c>
      <c r="AX22" s="18">
        <f t="shared" si="3"/>
        <v>0</v>
      </c>
      <c r="AY22" s="40"/>
      <c r="AZ22" s="40"/>
      <c r="BF22" s="2">
        <f t="shared" si="4"/>
        <v>495.64518815281161</v>
      </c>
      <c r="BG22" s="2">
        <f t="shared" si="5"/>
        <v>411.42730254685927</v>
      </c>
      <c r="BH22" s="2">
        <f t="shared" si="6"/>
        <v>36.045523322363714</v>
      </c>
      <c r="BI22" s="2">
        <f t="shared" si="26"/>
        <v>48.172362283588633</v>
      </c>
      <c r="BJ22" s="2">
        <f t="shared" si="7"/>
        <v>532.4456681479129</v>
      </c>
      <c r="BK22" s="2">
        <f t="shared" si="8"/>
        <v>434.23295588001901</v>
      </c>
      <c r="BL22" s="2">
        <f t="shared" si="9"/>
        <v>39.858139184256466</v>
      </c>
      <c r="BM22" s="2">
        <f t="shared" si="27"/>
        <v>58.354573083637426</v>
      </c>
      <c r="BN22" s="2">
        <f t="shared" si="10"/>
        <v>145.96536128201473</v>
      </c>
      <c r="BO22" s="2">
        <f t="shared" si="11"/>
        <v>339.06972528258683</v>
      </c>
      <c r="BP22" s="2">
        <f t="shared" si="28"/>
        <v>10.610101588210057</v>
      </c>
      <c r="BQ22" s="2">
        <f t="shared" si="12"/>
        <v>144.4148262180606</v>
      </c>
      <c r="BR22" s="2">
        <f t="shared" si="13"/>
        <v>377.61261466433893</v>
      </c>
      <c r="BS22" s="2">
        <f t="shared" si="29"/>
        <v>10.418227265513337</v>
      </c>
      <c r="BT22" s="18">
        <f t="shared" si="30"/>
        <v>0.83008432721839065</v>
      </c>
      <c r="BU22" s="18">
        <f t="shared" si="31"/>
        <v>0.81554416132349772</v>
      </c>
      <c r="BV22" s="18">
        <f t="shared" si="14"/>
        <v>0.68409768396268333</v>
      </c>
      <c r="BW22" s="18">
        <f t="shared" si="15"/>
        <v>0.70920403198667492</v>
      </c>
      <c r="BX22" s="34">
        <f t="shared" si="16"/>
        <v>14.469979296066255</v>
      </c>
      <c r="BY22" s="34">
        <f t="shared" si="17"/>
        <v>14.721962616822433</v>
      </c>
      <c r="BZ22" s="34">
        <f t="shared" si="32"/>
        <v>10.945110014877459</v>
      </c>
      <c r="CA22" s="34">
        <f t="shared" si="33"/>
        <v>11.197597341436976</v>
      </c>
      <c r="CB22" s="29">
        <v>1.06</v>
      </c>
      <c r="CC22" s="2">
        <v>1143</v>
      </c>
      <c r="CD22" s="2">
        <v>1132.8</v>
      </c>
      <c r="CE22">
        <v>31540</v>
      </c>
      <c r="CF22" t="s">
        <v>234</v>
      </c>
      <c r="CG22" t="str">
        <f>IF(CB22&lt;=1.25,"Keskuslik",IF(CB22&lt;=1.75,"Keskus-tagamaaline","Tagamaaline"))</f>
        <v>Keskuslik</v>
      </c>
    </row>
    <row r="23" spans="1:85" ht="14.25" customHeight="1" x14ac:dyDescent="0.35">
      <c r="A23" t="s">
        <v>135</v>
      </c>
      <c r="B23" s="10" t="s">
        <v>28</v>
      </c>
      <c r="C23" s="11">
        <v>11831.04</v>
      </c>
      <c r="D23" s="13"/>
      <c r="E23" s="11">
        <v>553</v>
      </c>
      <c r="F23" s="11">
        <v>161108.73000000001</v>
      </c>
      <c r="G23" s="11">
        <v>90792.68</v>
      </c>
      <c r="H23" s="11"/>
      <c r="I23" s="11">
        <v>546150.42000000004</v>
      </c>
      <c r="J23" s="11">
        <v>43357.44846</v>
      </c>
      <c r="K23" s="11">
        <v>110803.58</v>
      </c>
      <c r="L23" s="12">
        <f t="shared" si="0"/>
        <v>739101.09000000008</v>
      </c>
      <c r="M23" s="11">
        <v>20391.34</v>
      </c>
      <c r="N23" s="13"/>
      <c r="O23" s="11">
        <v>682</v>
      </c>
      <c r="P23" s="11">
        <v>184756.87000000011</v>
      </c>
      <c r="Q23" s="11">
        <v>71383.03</v>
      </c>
      <c r="R23" s="11"/>
      <c r="S23" s="11">
        <v>849715.32</v>
      </c>
      <c r="T23" s="11">
        <v>48637.95912</v>
      </c>
      <c r="U23" s="11">
        <v>63984.460000000006</v>
      </c>
      <c r="V23" s="12">
        <f t="shared" si="1"/>
        <v>1047464.96</v>
      </c>
      <c r="W23" s="11">
        <v>316697</v>
      </c>
      <c r="X23" s="11">
        <v>6732</v>
      </c>
      <c r="Y23" s="11">
        <v>107450.85</v>
      </c>
      <c r="Z23" s="51">
        <f t="shared" si="18"/>
        <v>430879.85</v>
      </c>
      <c r="AA23" s="11">
        <v>375806</v>
      </c>
      <c r="AB23" s="11">
        <v>5777</v>
      </c>
      <c r="AC23" s="11">
        <v>173321.93</v>
      </c>
      <c r="AD23" s="51">
        <f t="shared" si="19"/>
        <v>554904.92999999993</v>
      </c>
      <c r="AE23" s="2">
        <v>53</v>
      </c>
      <c r="AF23">
        <v>63</v>
      </c>
      <c r="AG23">
        <v>68</v>
      </c>
      <c r="AH23" s="2">
        <f t="shared" si="20"/>
        <v>56.333333333333336</v>
      </c>
      <c r="AI23" s="2">
        <f t="shared" si="21"/>
        <v>64.666666666666671</v>
      </c>
      <c r="AJ23" s="2">
        <v>9</v>
      </c>
      <c r="AK23" s="2">
        <v>9</v>
      </c>
      <c r="AL23" s="2">
        <v>9</v>
      </c>
      <c r="AM23" s="2">
        <f t="shared" si="22"/>
        <v>9</v>
      </c>
      <c r="AN23" s="2">
        <f t="shared" si="23"/>
        <v>9</v>
      </c>
      <c r="AO23" s="2">
        <v>9.19</v>
      </c>
      <c r="AP23" s="2">
        <v>10.33</v>
      </c>
      <c r="AQ23" s="2">
        <v>279301</v>
      </c>
      <c r="AR23" s="2">
        <v>332838.42</v>
      </c>
      <c r="AS23" s="2">
        <f t="shared" si="24"/>
        <v>2532.653246282191</v>
      </c>
      <c r="AT23" s="2">
        <f t="shared" si="25"/>
        <v>2685.0469506292352</v>
      </c>
      <c r="AU23" s="2">
        <f>Alusharidus!AH23*2/3+Alusharidus!AL23*1/3</f>
        <v>57.333333333333329</v>
      </c>
      <c r="AV23" s="2">
        <f>Alusharidus!AL23*2/3+Alusharidus!AP23*1/3</f>
        <v>61</v>
      </c>
      <c r="AW23" s="18">
        <f t="shared" si="2"/>
        <v>0.50439882697947214</v>
      </c>
      <c r="AX23" s="18">
        <f t="shared" si="3"/>
        <v>0.48541114058355433</v>
      </c>
      <c r="AY23" s="40"/>
      <c r="AZ23" s="40"/>
      <c r="BA23" s="25" t="s">
        <v>195</v>
      </c>
      <c r="BF23" s="2">
        <f t="shared" si="4"/>
        <v>1093.3448076923078</v>
      </c>
      <c r="BG23" s="2">
        <f t="shared" si="5"/>
        <v>807.91482248520708</v>
      </c>
      <c r="BH23" s="2">
        <f t="shared" si="6"/>
        <v>163.91062130177514</v>
      </c>
      <c r="BI23" s="2">
        <f t="shared" si="26"/>
        <v>121.51936390532555</v>
      </c>
      <c r="BJ23" s="2">
        <f t="shared" si="7"/>
        <v>1349.8259793814432</v>
      </c>
      <c r="BK23" s="2">
        <f t="shared" si="8"/>
        <v>1094.9939690721649</v>
      </c>
      <c r="BL23" s="2">
        <f t="shared" si="9"/>
        <v>82.454201030927834</v>
      </c>
      <c r="BM23" s="2">
        <f t="shared" si="27"/>
        <v>172.37780927835047</v>
      </c>
      <c r="BN23" s="2">
        <f t="shared" si="10"/>
        <v>455.94857988165694</v>
      </c>
      <c r="BO23" s="2">
        <f t="shared" si="11"/>
        <v>627.43764792899401</v>
      </c>
      <c r="BP23" s="2">
        <f t="shared" si="28"/>
        <v>9.9585798816567603</v>
      </c>
      <c r="BQ23" s="2">
        <f t="shared" si="12"/>
        <v>634.74230670103088</v>
      </c>
      <c r="BR23" s="2">
        <f t="shared" si="13"/>
        <v>707.63908505154632</v>
      </c>
      <c r="BS23" s="2">
        <f t="shared" si="29"/>
        <v>7.4445876288659747</v>
      </c>
      <c r="BT23" s="18">
        <f t="shared" si="30"/>
        <v>0.73893872893625412</v>
      </c>
      <c r="BU23" s="18">
        <f t="shared" si="31"/>
        <v>0.81121121225859438</v>
      </c>
      <c r="BV23" s="18">
        <f t="shared" si="14"/>
        <v>0.5738698748232125</v>
      </c>
      <c r="BW23" s="18">
        <f t="shared" si="15"/>
        <v>0.52424467735894476</v>
      </c>
      <c r="BX23" s="34">
        <f t="shared" si="16"/>
        <v>6.2592592592592595</v>
      </c>
      <c r="BY23" s="34">
        <f t="shared" si="17"/>
        <v>7.185185185185186</v>
      </c>
      <c r="BZ23" s="34">
        <f t="shared" si="32"/>
        <v>6.1298512876314843</v>
      </c>
      <c r="CA23" s="34">
        <f t="shared" si="33"/>
        <v>6.2600838980316231</v>
      </c>
      <c r="CB23" s="29">
        <v>1.36</v>
      </c>
      <c r="CC23" s="2">
        <v>2233.1</v>
      </c>
      <c r="CD23" s="2">
        <v>2434.1999999999998</v>
      </c>
      <c r="CE23">
        <v>7998</v>
      </c>
      <c r="CF23" t="s">
        <v>233</v>
      </c>
      <c r="CG23" t="str">
        <f>IF(CB23&lt;=1.25,"Keskuslik",IF(CB23&lt;=1.75,"Keskus-tagamaaline","Tagamaaline"))</f>
        <v>Keskus-tagamaaline</v>
      </c>
    </row>
    <row r="24" spans="1:85" ht="14.25" customHeight="1" x14ac:dyDescent="0.35">
      <c r="A24" t="s">
        <v>129</v>
      </c>
      <c r="B24" s="10" t="s">
        <v>29</v>
      </c>
      <c r="C24" s="11">
        <v>252746.04</v>
      </c>
      <c r="D24" s="11">
        <v>4429.95</v>
      </c>
      <c r="E24" s="11">
        <v>579547.5</v>
      </c>
      <c r="F24" s="11">
        <v>1695694.62</v>
      </c>
      <c r="G24" s="11">
        <v>138312.85</v>
      </c>
      <c r="H24" s="11">
        <v>180</v>
      </c>
      <c r="I24" s="11">
        <v>16892384.390000001</v>
      </c>
      <c r="J24" s="11">
        <v>856833.72510000016</v>
      </c>
      <c r="K24" s="11">
        <v>1382344.18</v>
      </c>
      <c r="L24" s="12">
        <f t="shared" si="0"/>
        <v>20089286.329999998</v>
      </c>
      <c r="M24" s="11">
        <v>347374.65</v>
      </c>
      <c r="N24" s="11">
        <v>5131.21</v>
      </c>
      <c r="O24" s="11">
        <v>36626.33</v>
      </c>
      <c r="P24" s="11">
        <v>2118648.42</v>
      </c>
      <c r="Q24" s="11">
        <v>114303</v>
      </c>
      <c r="R24" s="11"/>
      <c r="S24" s="11">
        <v>15800053.17</v>
      </c>
      <c r="T24" s="11">
        <v>699126.74250000005</v>
      </c>
      <c r="U24" s="11">
        <v>1680092.29</v>
      </c>
      <c r="V24" s="12">
        <f t="shared" si="1"/>
        <v>19836996.739999998</v>
      </c>
      <c r="W24" s="11">
        <v>13609492</v>
      </c>
      <c r="X24" s="11">
        <v>197212.99999999991</v>
      </c>
      <c r="Y24" s="11">
        <v>2652893.189999999</v>
      </c>
      <c r="Z24" s="51">
        <f t="shared" si="18"/>
        <v>16459598.189999999</v>
      </c>
      <c r="AA24" s="11">
        <v>11760792</v>
      </c>
      <c r="AB24" s="11">
        <v>180433.83</v>
      </c>
      <c r="AC24" s="11">
        <v>3261074.91</v>
      </c>
      <c r="AD24" s="51">
        <f t="shared" si="19"/>
        <v>15202300.74</v>
      </c>
      <c r="AE24" s="2">
        <v>5610</v>
      </c>
      <c r="AF24">
        <v>3599</v>
      </c>
      <c r="AG24">
        <v>3439</v>
      </c>
      <c r="AH24" s="2">
        <f t="shared" si="20"/>
        <v>4939.666666666667</v>
      </c>
      <c r="AI24" s="2">
        <f t="shared" si="21"/>
        <v>3545.666666666667</v>
      </c>
      <c r="AJ24" s="2">
        <v>331</v>
      </c>
      <c r="AK24" s="2">
        <v>244</v>
      </c>
      <c r="AL24" s="2">
        <v>236</v>
      </c>
      <c r="AM24" s="2">
        <f t="shared" si="22"/>
        <v>302</v>
      </c>
      <c r="AN24" s="2">
        <f t="shared" si="23"/>
        <v>241.33333333333331</v>
      </c>
      <c r="AO24" s="2">
        <v>305.42</v>
      </c>
      <c r="AP24" s="2">
        <v>282.26</v>
      </c>
      <c r="AQ24" s="2">
        <v>9291120.6399999987</v>
      </c>
      <c r="AR24" s="2">
        <v>8395609.3200000003</v>
      </c>
      <c r="AS24" s="2">
        <f t="shared" si="24"/>
        <v>2535.0666404732278</v>
      </c>
      <c r="AT24" s="2">
        <f t="shared" si="25"/>
        <v>2478.6867072911505</v>
      </c>
      <c r="AU24" s="2">
        <f>Alusharidus!AH24*2/3+Alusharidus!AL24*1/3</f>
        <v>0</v>
      </c>
      <c r="AV24" s="2">
        <f>Alusharidus!AL24*2/3+Alusharidus!AP24*1/3</f>
        <v>0</v>
      </c>
      <c r="AW24" s="18">
        <f t="shared" si="2"/>
        <v>0</v>
      </c>
      <c r="AX24" s="18">
        <f t="shared" si="3"/>
        <v>0</v>
      </c>
      <c r="AY24" s="40"/>
      <c r="AZ24" s="40"/>
      <c r="BF24" s="2">
        <f t="shared" si="4"/>
        <v>338.91096447128683</v>
      </c>
      <c r="BG24" s="2">
        <f t="shared" si="5"/>
        <v>284.97848016060465</v>
      </c>
      <c r="BH24" s="2">
        <f t="shared" si="6"/>
        <v>23.323506646872257</v>
      </c>
      <c r="BI24" s="2">
        <f t="shared" si="26"/>
        <v>30.608977663809927</v>
      </c>
      <c r="BJ24" s="2">
        <f t="shared" si="7"/>
        <v>466.22630299896582</v>
      </c>
      <c r="BK24" s="2">
        <f t="shared" si="8"/>
        <v>371.3465537745605</v>
      </c>
      <c r="BL24" s="2">
        <f t="shared" si="9"/>
        <v>39.486986227319733</v>
      </c>
      <c r="BM24" s="2">
        <f t="shared" si="27"/>
        <v>55.392762997085583</v>
      </c>
      <c r="BN24" s="2">
        <f t="shared" si="10"/>
        <v>61.233688845401154</v>
      </c>
      <c r="BO24" s="2">
        <f t="shared" si="11"/>
        <v>274.35024613671635</v>
      </c>
      <c r="BP24" s="2">
        <f t="shared" si="28"/>
        <v>3.3270294891693197</v>
      </c>
      <c r="BQ24" s="2">
        <f t="shared" si="12"/>
        <v>108.92864529472591</v>
      </c>
      <c r="BR24" s="2">
        <f t="shared" si="13"/>
        <v>353.05694533233054</v>
      </c>
      <c r="BS24" s="2">
        <f t="shared" si="29"/>
        <v>4.2407123719093534</v>
      </c>
      <c r="BT24" s="18">
        <f t="shared" si="30"/>
        <v>0.84086533053063428</v>
      </c>
      <c r="BU24" s="18">
        <f t="shared" si="31"/>
        <v>0.79649421619050997</v>
      </c>
      <c r="BV24" s="18">
        <f t="shared" si="14"/>
        <v>0.80950537131400435</v>
      </c>
      <c r="BW24" s="18">
        <f t="shared" si="15"/>
        <v>0.75726518015246702</v>
      </c>
      <c r="BX24" s="34">
        <f t="shared" si="16"/>
        <v>16.356512141280355</v>
      </c>
      <c r="BY24" s="34">
        <f t="shared" si="17"/>
        <v>14.691988950276246</v>
      </c>
      <c r="BZ24" s="34">
        <f t="shared" si="32"/>
        <v>16.173356907428023</v>
      </c>
      <c r="CA24" s="34">
        <f t="shared" si="33"/>
        <v>12.561704338789298</v>
      </c>
      <c r="CB24" s="29">
        <v>1.01</v>
      </c>
      <c r="CC24" s="2">
        <v>1008.7</v>
      </c>
      <c r="CD24" s="2">
        <v>991.9</v>
      </c>
      <c r="CE24">
        <v>52058</v>
      </c>
      <c r="CF24" t="s">
        <v>234</v>
      </c>
      <c r="CG24" t="str">
        <f>IF(CB24&lt;=1.25,"Keskuslik",IF(CB24&lt;=1.75,"Keskus-tagamaaline","Tagamaaline"))</f>
        <v>Keskuslik</v>
      </c>
    </row>
    <row r="25" spans="1:85" ht="14.25" customHeight="1" x14ac:dyDescent="0.35">
      <c r="A25" t="s">
        <v>128</v>
      </c>
      <c r="B25" s="10" t="s">
        <v>30</v>
      </c>
      <c r="C25" s="11">
        <v>48462.78</v>
      </c>
      <c r="D25" s="11">
        <v>248.4</v>
      </c>
      <c r="E25" s="13"/>
      <c r="F25" s="11">
        <v>415862.09</v>
      </c>
      <c r="G25" s="11">
        <v>145176.04999999999</v>
      </c>
      <c r="H25" s="11">
        <v>50580.36</v>
      </c>
      <c r="I25" s="11">
        <v>1762819.27</v>
      </c>
      <c r="J25" s="11">
        <v>84232.037220000013</v>
      </c>
      <c r="K25" s="11">
        <v>36570.61</v>
      </c>
      <c r="L25" s="12">
        <f t="shared" si="0"/>
        <v>2118787.1</v>
      </c>
      <c r="M25" s="11">
        <v>65101.37</v>
      </c>
      <c r="N25" s="11">
        <v>-48.4</v>
      </c>
      <c r="O25" s="13"/>
      <c r="P25" s="11">
        <v>483710.25</v>
      </c>
      <c r="Q25" s="11">
        <v>136211.23000000001</v>
      </c>
      <c r="R25" s="11">
        <v>50580.36</v>
      </c>
      <c r="S25" s="11">
        <v>1784792.4</v>
      </c>
      <c r="T25" s="11">
        <v>86352.740460000001</v>
      </c>
      <c r="U25" s="11">
        <v>34846.239999999998</v>
      </c>
      <c r="V25" s="12">
        <f t="shared" si="1"/>
        <v>2232190.6300000004</v>
      </c>
      <c r="W25" s="11">
        <v>1114832</v>
      </c>
      <c r="X25" s="11">
        <v>126072</v>
      </c>
      <c r="Y25" s="11">
        <v>358866.25</v>
      </c>
      <c r="Z25" s="51">
        <f t="shared" si="18"/>
        <v>1599770.25</v>
      </c>
      <c r="AA25" s="11">
        <v>1206462</v>
      </c>
      <c r="AB25" s="11">
        <v>132544</v>
      </c>
      <c r="AC25" s="11">
        <v>405506.06999999995</v>
      </c>
      <c r="AD25" s="51">
        <f t="shared" si="19"/>
        <v>1744512.0699999998</v>
      </c>
      <c r="AE25" s="2">
        <v>222</v>
      </c>
      <c r="AF25">
        <v>234</v>
      </c>
      <c r="AG25">
        <v>223</v>
      </c>
      <c r="AH25" s="2">
        <f t="shared" si="20"/>
        <v>226</v>
      </c>
      <c r="AI25" s="2">
        <f t="shared" si="21"/>
        <v>230.33333333333331</v>
      </c>
      <c r="AJ25" s="2">
        <v>30</v>
      </c>
      <c r="AK25" s="2">
        <v>25</v>
      </c>
      <c r="AL25" s="2">
        <v>22</v>
      </c>
      <c r="AM25" s="2">
        <f t="shared" si="22"/>
        <v>28.333333333333336</v>
      </c>
      <c r="AN25" s="2">
        <f t="shared" si="23"/>
        <v>24</v>
      </c>
      <c r="AO25" s="2">
        <v>28.94</v>
      </c>
      <c r="AP25" s="2">
        <v>27.61</v>
      </c>
      <c r="AQ25" s="2">
        <v>934589.06</v>
      </c>
      <c r="AR25" s="2">
        <v>961332.84</v>
      </c>
      <c r="AS25" s="2">
        <f t="shared" si="24"/>
        <v>2691.1686823312602</v>
      </c>
      <c r="AT25" s="2">
        <f t="shared" si="25"/>
        <v>2901.5237232886634</v>
      </c>
      <c r="AU25" s="2">
        <f>Alusharidus!AH25*2/3+Alusharidus!AL25*1/3</f>
        <v>0</v>
      </c>
      <c r="AV25" s="2">
        <f>Alusharidus!AL25*2/3+Alusharidus!AP25*1/3</f>
        <v>0</v>
      </c>
      <c r="AW25" s="18">
        <f t="shared" si="2"/>
        <v>0</v>
      </c>
      <c r="AX25" s="18">
        <f t="shared" si="3"/>
        <v>0</v>
      </c>
      <c r="AY25" s="40"/>
      <c r="AZ25" s="40"/>
      <c r="BF25" s="2">
        <f t="shared" si="4"/>
        <v>781.26367994100292</v>
      </c>
      <c r="BG25" s="2">
        <f t="shared" si="5"/>
        <v>650.00710545722711</v>
      </c>
      <c r="BH25" s="2">
        <f t="shared" si="6"/>
        <v>32.135313421828904</v>
      </c>
      <c r="BI25" s="2">
        <f t="shared" si="26"/>
        <v>99.12126106194691</v>
      </c>
      <c r="BJ25" s="2">
        <f t="shared" si="7"/>
        <v>807.59429450072378</v>
      </c>
      <c r="BK25" s="2">
        <f t="shared" si="8"/>
        <v>645.72807525325618</v>
      </c>
      <c r="BL25" s="2">
        <f t="shared" si="9"/>
        <v>30.906874095513754</v>
      </c>
      <c r="BM25" s="2">
        <f t="shared" si="27"/>
        <v>130.95934515195384</v>
      </c>
      <c r="BN25" s="2">
        <f t="shared" si="10"/>
        <v>191.37789454277288</v>
      </c>
      <c r="BO25" s="2">
        <f t="shared" si="11"/>
        <v>543.39905973451334</v>
      </c>
      <c r="BP25" s="2">
        <f t="shared" si="28"/>
        <v>46.486725663716697</v>
      </c>
      <c r="BQ25" s="2">
        <f t="shared" si="12"/>
        <v>176.43942112879904</v>
      </c>
      <c r="BR25" s="2">
        <f t="shared" si="13"/>
        <v>583.20118306801737</v>
      </c>
      <c r="BS25" s="2">
        <f t="shared" si="29"/>
        <v>47.953690303907365</v>
      </c>
      <c r="BT25" s="18">
        <f t="shared" si="30"/>
        <v>0.83199452649112315</v>
      </c>
      <c r="BU25" s="18">
        <f t="shared" si="31"/>
        <v>0.79956988261347539</v>
      </c>
      <c r="BV25" s="18">
        <f t="shared" si="14"/>
        <v>0.69553861735329614</v>
      </c>
      <c r="BW25" s="18">
        <f t="shared" si="15"/>
        <v>0.72214623981286019</v>
      </c>
      <c r="BX25" s="34">
        <f t="shared" si="16"/>
        <v>7.9764705882352933</v>
      </c>
      <c r="BY25" s="34">
        <f t="shared" si="17"/>
        <v>9.5972222222222214</v>
      </c>
      <c r="BZ25" s="34">
        <f t="shared" si="32"/>
        <v>7.8092605390463019</v>
      </c>
      <c r="CA25" s="34">
        <f t="shared" si="33"/>
        <v>8.3423880236629238</v>
      </c>
      <c r="CB25" s="29">
        <v>1.78</v>
      </c>
      <c r="CC25" s="2">
        <v>2135.6</v>
      </c>
      <c r="CD25" s="2">
        <v>2243.8000000000002</v>
      </c>
      <c r="CE25">
        <v>4783</v>
      </c>
      <c r="CF25" t="s">
        <v>232</v>
      </c>
      <c r="CG25" t="s">
        <v>232</v>
      </c>
    </row>
    <row r="26" spans="1:85" ht="14.25" customHeight="1" x14ac:dyDescent="0.35">
      <c r="A26" t="s">
        <v>106</v>
      </c>
      <c r="B26" s="10" t="s">
        <v>31</v>
      </c>
      <c r="C26" s="11">
        <v>60761.8</v>
      </c>
      <c r="D26" s="13"/>
      <c r="E26" s="13"/>
      <c r="F26" s="11">
        <v>463423.59</v>
      </c>
      <c r="G26" s="11">
        <v>93227.66</v>
      </c>
      <c r="H26" s="11"/>
      <c r="I26" s="11">
        <v>3068344.02</v>
      </c>
      <c r="J26" s="11">
        <v>115870.8</v>
      </c>
      <c r="K26" s="11">
        <v>487689.92999999988</v>
      </c>
      <c r="L26" s="12">
        <f t="shared" si="0"/>
        <v>3986991.6799999997</v>
      </c>
      <c r="M26" s="11">
        <v>77524.17</v>
      </c>
      <c r="N26" s="13"/>
      <c r="O26" s="13"/>
      <c r="P26" s="11">
        <v>490824.88</v>
      </c>
      <c r="Q26" s="11">
        <v>91079.5</v>
      </c>
      <c r="R26" s="11"/>
      <c r="S26" s="11">
        <v>2898199.51</v>
      </c>
      <c r="T26" s="11">
        <v>116342.21754000001</v>
      </c>
      <c r="U26" s="11">
        <v>487105.28000000003</v>
      </c>
      <c r="V26" s="12">
        <f t="shared" si="1"/>
        <v>3862574.34</v>
      </c>
      <c r="W26" s="11">
        <v>2277050</v>
      </c>
      <c r="X26" s="11">
        <v>61572</v>
      </c>
      <c r="Y26" s="11">
        <v>687975.56</v>
      </c>
      <c r="Z26" s="51">
        <f t="shared" si="18"/>
        <v>3026597.56</v>
      </c>
      <c r="AA26" s="11">
        <v>2042081</v>
      </c>
      <c r="AB26" s="11">
        <v>57421</v>
      </c>
      <c r="AC26" s="11">
        <v>711375.8899999999</v>
      </c>
      <c r="AD26" s="51">
        <f t="shared" si="19"/>
        <v>2810877.8899999997</v>
      </c>
      <c r="AE26" s="2">
        <v>656</v>
      </c>
      <c r="AF26">
        <v>569</v>
      </c>
      <c r="AG26">
        <v>489</v>
      </c>
      <c r="AH26" s="2">
        <f t="shared" si="20"/>
        <v>627</v>
      </c>
      <c r="AI26" s="2">
        <f t="shared" si="21"/>
        <v>542.33333333333326</v>
      </c>
      <c r="AJ26" s="2">
        <v>42</v>
      </c>
      <c r="AK26" s="2">
        <v>35</v>
      </c>
      <c r="AL26" s="2">
        <v>32</v>
      </c>
      <c r="AM26" s="2">
        <f t="shared" si="22"/>
        <v>39.666666666666664</v>
      </c>
      <c r="AN26" s="2">
        <f t="shared" si="23"/>
        <v>34</v>
      </c>
      <c r="AO26" s="2">
        <v>56.4</v>
      </c>
      <c r="AP26" s="2">
        <v>46.3</v>
      </c>
      <c r="AQ26" s="2">
        <v>1583232.67</v>
      </c>
      <c r="AR26" s="2">
        <v>1385311.78</v>
      </c>
      <c r="AS26" s="2">
        <f t="shared" si="24"/>
        <v>2339.2917700945627</v>
      </c>
      <c r="AT26" s="2">
        <f t="shared" si="25"/>
        <v>2493.3617350611953</v>
      </c>
      <c r="AU26" s="2">
        <f>Alusharidus!AH26*2/3+Alusharidus!AL26*1/3</f>
        <v>0</v>
      </c>
      <c r="AV26" s="2">
        <f>Alusharidus!AL26*2/3+Alusharidus!AP26*1/3</f>
        <v>0</v>
      </c>
      <c r="AW26" s="18">
        <f t="shared" si="2"/>
        <v>0</v>
      </c>
      <c r="AX26" s="18">
        <f t="shared" si="3"/>
        <v>0</v>
      </c>
      <c r="AY26" s="40"/>
      <c r="AZ26" s="40"/>
      <c r="BF26" s="2">
        <f t="shared" si="4"/>
        <v>529.90320042530561</v>
      </c>
      <c r="BG26" s="2">
        <f t="shared" si="5"/>
        <v>407.80755183413083</v>
      </c>
      <c r="BH26" s="2">
        <f t="shared" si="6"/>
        <v>64.817906698564585</v>
      </c>
      <c r="BI26" s="2">
        <f t="shared" si="26"/>
        <v>57.277741892610194</v>
      </c>
      <c r="BJ26" s="2">
        <f t="shared" si="7"/>
        <v>593.51173017824226</v>
      </c>
      <c r="BK26" s="2">
        <f t="shared" si="8"/>
        <v>445.32875076828526</v>
      </c>
      <c r="BL26" s="2">
        <f t="shared" si="9"/>
        <v>74.847154271665659</v>
      </c>
      <c r="BM26" s="2">
        <f t="shared" si="27"/>
        <v>73.335825138291341</v>
      </c>
      <c r="BN26" s="2">
        <f t="shared" si="10"/>
        <v>127.6440882509303</v>
      </c>
      <c r="BO26" s="2">
        <f t="shared" si="11"/>
        <v>394.07569909622543</v>
      </c>
      <c r="BP26" s="2">
        <f t="shared" si="28"/>
        <v>8.183413078149897</v>
      </c>
      <c r="BQ26" s="2">
        <f t="shared" si="12"/>
        <v>161.60056084818692</v>
      </c>
      <c r="BR26" s="2">
        <f t="shared" si="13"/>
        <v>423.08802858020903</v>
      </c>
      <c r="BS26" s="2">
        <f t="shared" si="29"/>
        <v>8.8231407498463454</v>
      </c>
      <c r="BT26" s="18">
        <f t="shared" si="30"/>
        <v>0.76958876924468544</v>
      </c>
      <c r="BU26" s="18">
        <f t="shared" si="31"/>
        <v>0.75032847393689261</v>
      </c>
      <c r="BV26" s="18">
        <f t="shared" si="14"/>
        <v>0.74367488020441519</v>
      </c>
      <c r="BW26" s="18">
        <f t="shared" si="15"/>
        <v>0.71285537769093132</v>
      </c>
      <c r="BX26" s="34">
        <f t="shared" si="16"/>
        <v>15.806722689075631</v>
      </c>
      <c r="BY26" s="34">
        <f t="shared" si="17"/>
        <v>15.950980392156861</v>
      </c>
      <c r="BZ26" s="34">
        <f t="shared" si="32"/>
        <v>11.117021276595745</v>
      </c>
      <c r="CA26" s="34">
        <f t="shared" si="33"/>
        <v>11.713462922966162</v>
      </c>
      <c r="CB26" s="29">
        <v>1</v>
      </c>
      <c r="CC26" s="2">
        <v>809.9</v>
      </c>
      <c r="CD26" s="2">
        <v>859.2</v>
      </c>
      <c r="CE26">
        <v>11824</v>
      </c>
      <c r="CF26" t="s">
        <v>234</v>
      </c>
      <c r="CG26" t="str">
        <f>IF(CB26&lt;=1.25,"Keskuslik",IF(CB26&lt;=1.75,"Keskus-tagamaaline","Tagamaaline"))</f>
        <v>Keskuslik</v>
      </c>
    </row>
    <row r="27" spans="1:85" ht="14.25" customHeight="1" x14ac:dyDescent="0.35">
      <c r="A27" t="s">
        <v>102</v>
      </c>
      <c r="B27" s="10" t="s">
        <v>32</v>
      </c>
      <c r="C27" s="11">
        <v>69924.36</v>
      </c>
      <c r="D27" s="13"/>
      <c r="E27" s="13"/>
      <c r="F27" s="11">
        <v>507247.78000000009</v>
      </c>
      <c r="G27" s="11">
        <v>148915.54999999999</v>
      </c>
      <c r="H27" s="11"/>
      <c r="I27" s="11">
        <v>2634827.4699999988</v>
      </c>
      <c r="J27" s="11">
        <v>149314.96632000001</v>
      </c>
      <c r="K27" s="11">
        <v>117419.39</v>
      </c>
      <c r="L27" s="12">
        <f t="shared" si="0"/>
        <v>3180503.4499999993</v>
      </c>
      <c r="M27" s="11">
        <v>80719.67</v>
      </c>
      <c r="N27" s="11">
        <v>-76.2</v>
      </c>
      <c r="O27" s="11">
        <v>24000</v>
      </c>
      <c r="P27" s="11">
        <v>550826.65000000026</v>
      </c>
      <c r="Q27" s="11">
        <v>135941.5</v>
      </c>
      <c r="R27" s="11"/>
      <c r="S27" s="11">
        <v>2775405.49</v>
      </c>
      <c r="T27" s="11">
        <v>167029.55112000002</v>
      </c>
      <c r="U27" s="11">
        <v>120309</v>
      </c>
      <c r="V27" s="12">
        <f t="shared" si="1"/>
        <v>3391243.1100000003</v>
      </c>
      <c r="W27" s="11">
        <v>1436418</v>
      </c>
      <c r="X27" s="11">
        <v>131598.20000000001</v>
      </c>
      <c r="Y27" s="11">
        <v>605929.74</v>
      </c>
      <c r="Z27" s="51">
        <f t="shared" si="18"/>
        <v>2173945.94</v>
      </c>
      <c r="AA27" s="11">
        <v>1452911</v>
      </c>
      <c r="AB27" s="11">
        <v>134833</v>
      </c>
      <c r="AC27" s="11">
        <v>650291.16999999993</v>
      </c>
      <c r="AD27" s="51">
        <f t="shared" si="19"/>
        <v>2238035.17</v>
      </c>
      <c r="AE27" s="2">
        <v>392</v>
      </c>
      <c r="AF27">
        <v>382</v>
      </c>
      <c r="AG27">
        <v>391</v>
      </c>
      <c r="AH27" s="2">
        <f t="shared" si="20"/>
        <v>388.66666666666663</v>
      </c>
      <c r="AI27" s="2">
        <f t="shared" si="21"/>
        <v>385</v>
      </c>
      <c r="AJ27" s="2">
        <v>25</v>
      </c>
      <c r="AK27" s="2">
        <v>26</v>
      </c>
      <c r="AL27" s="2">
        <v>25</v>
      </c>
      <c r="AM27" s="2">
        <f t="shared" si="22"/>
        <v>25.333333333333336</v>
      </c>
      <c r="AN27" s="2">
        <f t="shared" si="23"/>
        <v>25.666666666666664</v>
      </c>
      <c r="AO27" s="2">
        <v>37.61</v>
      </c>
      <c r="AP27" s="2">
        <v>44.52</v>
      </c>
      <c r="AQ27" s="2">
        <v>1393518.15</v>
      </c>
      <c r="AR27" s="2">
        <v>1427377.11</v>
      </c>
      <c r="AS27" s="2">
        <f t="shared" si="24"/>
        <v>3087.6498936453067</v>
      </c>
      <c r="AT27" s="2">
        <f t="shared" si="25"/>
        <v>2671.7900381850855</v>
      </c>
      <c r="AU27" s="2">
        <f>Alusharidus!AH27*2/3+Alusharidus!AL27*1/3</f>
        <v>51</v>
      </c>
      <c r="AV27" s="2">
        <f>Alusharidus!AL27*2/3+Alusharidus!AP27*1/3</f>
        <v>48.333333333333329</v>
      </c>
      <c r="AW27" s="18">
        <f t="shared" si="2"/>
        <v>0.11599696739954513</v>
      </c>
      <c r="AX27" s="18">
        <f t="shared" si="3"/>
        <v>0.11153846153846153</v>
      </c>
      <c r="AY27" s="40"/>
      <c r="AZ27" s="40"/>
      <c r="BA27" s="25" t="s">
        <v>195</v>
      </c>
      <c r="BF27" s="2">
        <f t="shared" si="4"/>
        <v>681.92612564322462</v>
      </c>
      <c r="BG27" s="2">
        <f t="shared" si="5"/>
        <v>564.92870283018851</v>
      </c>
      <c r="BH27" s="2">
        <f t="shared" si="6"/>
        <v>25.175683962264156</v>
      </c>
      <c r="BI27" s="2">
        <f t="shared" si="26"/>
        <v>91.821738850771951</v>
      </c>
      <c r="BJ27" s="2">
        <f t="shared" si="7"/>
        <v>734.03530519480535</v>
      </c>
      <c r="BK27" s="2">
        <f t="shared" si="8"/>
        <v>600.7371190476191</v>
      </c>
      <c r="BL27" s="2">
        <f t="shared" si="9"/>
        <v>26.040909090909093</v>
      </c>
      <c r="BM27" s="2">
        <f t="shared" si="27"/>
        <v>107.25727705627715</v>
      </c>
      <c r="BN27" s="2">
        <f t="shared" si="10"/>
        <v>215.81421740994844</v>
      </c>
      <c r="BO27" s="2">
        <f t="shared" si="11"/>
        <v>437.89617066895374</v>
      </c>
      <c r="BP27" s="2">
        <f t="shared" si="28"/>
        <v>28.21573756432241</v>
      </c>
      <c r="BQ27" s="2">
        <f t="shared" si="12"/>
        <v>249.6121082251083</v>
      </c>
      <c r="BR27" s="2">
        <f t="shared" si="13"/>
        <v>455.23856493506491</v>
      </c>
      <c r="BS27" s="2">
        <f t="shared" si="29"/>
        <v>29.184632034632159</v>
      </c>
      <c r="BT27" s="18">
        <f t="shared" si="30"/>
        <v>0.82843094227739311</v>
      </c>
      <c r="BU27" s="18">
        <f t="shared" si="31"/>
        <v>0.81840357649853057</v>
      </c>
      <c r="BV27" s="18">
        <f t="shared" si="14"/>
        <v>0.64214605395255908</v>
      </c>
      <c r="BW27" s="18">
        <f t="shared" si="15"/>
        <v>0.62018619773915284</v>
      </c>
      <c r="BX27" s="34">
        <f t="shared" si="16"/>
        <v>15.342105263157892</v>
      </c>
      <c r="BY27" s="34">
        <f t="shared" si="17"/>
        <v>15.000000000000002</v>
      </c>
      <c r="BZ27" s="34">
        <f t="shared" si="32"/>
        <v>10.334130993530088</v>
      </c>
      <c r="CA27" s="34">
        <f t="shared" si="33"/>
        <v>8.6477987421383649</v>
      </c>
      <c r="CB27" s="29">
        <v>1.66</v>
      </c>
      <c r="CC27" s="2">
        <v>3323.6</v>
      </c>
      <c r="CD27" s="2">
        <v>3500.5</v>
      </c>
      <c r="CE27">
        <v>4454</v>
      </c>
      <c r="CF27" t="s">
        <v>233</v>
      </c>
      <c r="CG27" t="str">
        <f>IF(CB27&lt;=1.25,"Keskuslik",IF(CB27&lt;=1.75,"Keskus-tagamaaline","Tagamaaline"))</f>
        <v>Keskus-tagamaaline</v>
      </c>
    </row>
    <row r="28" spans="1:85" ht="14.25" customHeight="1" x14ac:dyDescent="0.35">
      <c r="A28" t="s">
        <v>165</v>
      </c>
      <c r="B28" s="10" t="s">
        <v>33</v>
      </c>
      <c r="C28" s="11">
        <v>89102.12</v>
      </c>
      <c r="D28" s="11">
        <v>42.4</v>
      </c>
      <c r="E28" s="11">
        <v>2885</v>
      </c>
      <c r="F28" s="11">
        <v>649020.5</v>
      </c>
      <c r="G28" s="11">
        <v>113445.43</v>
      </c>
      <c r="H28" s="11"/>
      <c r="I28" s="11">
        <v>3840751.26</v>
      </c>
      <c r="J28" s="11">
        <v>258209.59488000002</v>
      </c>
      <c r="K28" s="11">
        <v>310539.66999999993</v>
      </c>
      <c r="L28" s="12">
        <f t="shared" si="0"/>
        <v>4776010.5199999996</v>
      </c>
      <c r="M28" s="11">
        <v>93867.85</v>
      </c>
      <c r="N28" s="11">
        <v>14</v>
      </c>
      <c r="O28" s="13"/>
      <c r="P28" s="11">
        <v>650394.79000000015</v>
      </c>
      <c r="Q28" s="11">
        <v>104516</v>
      </c>
      <c r="R28" s="11"/>
      <c r="S28" s="11">
        <v>3812665.5499999989</v>
      </c>
      <c r="T28" s="11">
        <v>288274.80275999999</v>
      </c>
      <c r="U28" s="11">
        <v>273516.45</v>
      </c>
      <c r="V28" s="12">
        <f t="shared" si="1"/>
        <v>4725942.6399999997</v>
      </c>
      <c r="W28" s="11">
        <v>1895625</v>
      </c>
      <c r="X28" s="11">
        <v>87516</v>
      </c>
      <c r="Y28" s="11">
        <v>870774.77999999991</v>
      </c>
      <c r="Z28" s="51">
        <f t="shared" si="18"/>
        <v>2853915.78</v>
      </c>
      <c r="AA28" s="11">
        <v>1843412</v>
      </c>
      <c r="AB28" s="11">
        <v>87091</v>
      </c>
      <c r="AC28" s="11">
        <v>927343.82</v>
      </c>
      <c r="AD28" s="51">
        <f t="shared" si="19"/>
        <v>2857846.82</v>
      </c>
      <c r="AE28" s="2">
        <v>389</v>
      </c>
      <c r="AF28">
        <v>364</v>
      </c>
      <c r="AG28">
        <v>362</v>
      </c>
      <c r="AH28" s="2">
        <f t="shared" si="20"/>
        <v>380.66666666666663</v>
      </c>
      <c r="AI28" s="2">
        <f t="shared" si="21"/>
        <v>363.33333333333331</v>
      </c>
      <c r="AJ28" s="2">
        <v>49</v>
      </c>
      <c r="AK28" s="2">
        <v>47</v>
      </c>
      <c r="AL28" s="2">
        <v>42</v>
      </c>
      <c r="AM28" s="2">
        <f t="shared" si="22"/>
        <v>48.333333333333329</v>
      </c>
      <c r="AN28" s="2">
        <f t="shared" si="23"/>
        <v>45.333333333333329</v>
      </c>
      <c r="AO28" s="2">
        <v>53.820000000000007</v>
      </c>
      <c r="AP28" s="2">
        <v>52.43</v>
      </c>
      <c r="AQ28" s="2">
        <v>1884787.71</v>
      </c>
      <c r="AR28" s="2">
        <v>1858594.97</v>
      </c>
      <c r="AS28" s="2">
        <f t="shared" si="24"/>
        <v>2918.3508454106272</v>
      </c>
      <c r="AT28" s="2">
        <f t="shared" si="25"/>
        <v>2954.0895320745117</v>
      </c>
      <c r="AU28" s="2">
        <f>Alusharidus!AH28*2/3+Alusharidus!AL28*1/3</f>
        <v>38</v>
      </c>
      <c r="AV28" s="2">
        <f>Alusharidus!AL28*2/3+Alusharidus!AP28*1/3</f>
        <v>40.666666666666671</v>
      </c>
      <c r="AW28" s="18">
        <f t="shared" si="2"/>
        <v>9.076433121019109E-2</v>
      </c>
      <c r="AX28" s="18">
        <f t="shared" si="3"/>
        <v>0.10066006600660067</v>
      </c>
      <c r="AY28" s="40">
        <f>137791.03*AW28</f>
        <v>12506.510684713377</v>
      </c>
      <c r="AZ28" s="40">
        <f>141101.26*AX28</f>
        <v>14203.262145214523</v>
      </c>
      <c r="BA28" s="25" t="s">
        <v>195</v>
      </c>
      <c r="BE28" t="s">
        <v>197</v>
      </c>
      <c r="BF28" s="2">
        <f t="shared" si="4"/>
        <v>1042.7986009884603</v>
      </c>
      <c r="BG28" s="2">
        <f t="shared" si="5"/>
        <v>840.79493432574429</v>
      </c>
      <c r="BH28" s="2">
        <f t="shared" si="6"/>
        <v>67.98153896672504</v>
      </c>
      <c r="BI28" s="2">
        <f t="shared" si="26"/>
        <v>134.02212769599095</v>
      </c>
      <c r="BJ28" s="2">
        <f t="shared" si="7"/>
        <v>1080.6741692327489</v>
      </c>
      <c r="BK28" s="2">
        <f t="shared" si="8"/>
        <v>874.46457568807318</v>
      </c>
      <c r="BL28" s="2">
        <f t="shared" si="9"/>
        <v>62.733130733944961</v>
      </c>
      <c r="BM28" s="2">
        <f t="shared" si="27"/>
        <v>143.47646281073077</v>
      </c>
      <c r="BN28" s="2">
        <f t="shared" si="10"/>
        <v>418.03595212681398</v>
      </c>
      <c r="BO28" s="2">
        <f t="shared" si="11"/>
        <v>605.60415499124349</v>
      </c>
      <c r="BP28" s="2">
        <f t="shared" si="28"/>
        <v>19.158493870402822</v>
      </c>
      <c r="BQ28" s="2">
        <f t="shared" si="12"/>
        <v>425.20471510430849</v>
      </c>
      <c r="BR28" s="2">
        <f t="shared" si="13"/>
        <v>635.49445412844034</v>
      </c>
      <c r="BS28" s="2">
        <f t="shared" si="29"/>
        <v>19.975000000000136</v>
      </c>
      <c r="BT28" s="18">
        <f t="shared" si="30"/>
        <v>0.80628697960350315</v>
      </c>
      <c r="BU28" s="18">
        <f t="shared" si="31"/>
        <v>0.80918430419126308</v>
      </c>
      <c r="BV28" s="18">
        <f t="shared" si="14"/>
        <v>0.58074891394867256</v>
      </c>
      <c r="BW28" s="18">
        <f t="shared" si="15"/>
        <v>0.58805370963907211</v>
      </c>
      <c r="BX28" s="34">
        <f t="shared" si="16"/>
        <v>7.8758620689655174</v>
      </c>
      <c r="BY28" s="34">
        <f t="shared" si="17"/>
        <v>8.014705882352942</v>
      </c>
      <c r="BZ28" s="34">
        <f t="shared" si="32"/>
        <v>7.0729592468722888</v>
      </c>
      <c r="CA28" s="34">
        <f t="shared" si="33"/>
        <v>6.9298747536397736</v>
      </c>
      <c r="CB28" s="29">
        <v>2.04</v>
      </c>
      <c r="CC28" s="2">
        <v>5838.6</v>
      </c>
      <c r="CD28" s="2">
        <v>6258.8</v>
      </c>
      <c r="CE28">
        <v>4588</v>
      </c>
      <c r="CF28" t="s">
        <v>232</v>
      </c>
      <c r="CG28" t="s">
        <v>232</v>
      </c>
    </row>
    <row r="29" spans="1:85" ht="14.25" customHeight="1" x14ac:dyDescent="0.35">
      <c r="A29" t="s">
        <v>125</v>
      </c>
      <c r="B29" s="10" t="s">
        <v>34</v>
      </c>
      <c r="C29" s="11">
        <v>80219.67</v>
      </c>
      <c r="D29" s="13"/>
      <c r="E29" s="11">
        <v>330.6</v>
      </c>
      <c r="F29" s="11">
        <v>613175.87000000011</v>
      </c>
      <c r="G29" s="11">
        <v>139320.85</v>
      </c>
      <c r="H29" s="11"/>
      <c r="I29" s="11">
        <v>4146883.75</v>
      </c>
      <c r="J29" s="11">
        <v>188228.28792</v>
      </c>
      <c r="K29" s="11">
        <v>436364.94</v>
      </c>
      <c r="L29" s="12">
        <f t="shared" si="0"/>
        <v>5137323.3800000008</v>
      </c>
      <c r="M29" s="11">
        <v>105031.63</v>
      </c>
      <c r="N29" s="13"/>
      <c r="O29" s="11">
        <v>130</v>
      </c>
      <c r="P29" s="11">
        <v>742580.4</v>
      </c>
      <c r="Q29" s="11">
        <v>137444.57999999999</v>
      </c>
      <c r="R29" s="11"/>
      <c r="S29" s="11">
        <v>4145819.68</v>
      </c>
      <c r="T29" s="11">
        <v>194378.11056</v>
      </c>
      <c r="U29" s="11">
        <v>430704.32</v>
      </c>
      <c r="V29" s="12">
        <f t="shared" si="1"/>
        <v>5286691.45</v>
      </c>
      <c r="W29" s="11">
        <v>3292143</v>
      </c>
      <c r="X29" s="11">
        <v>74052</v>
      </c>
      <c r="Y29" s="11">
        <v>136699.24</v>
      </c>
      <c r="Z29" s="51">
        <f t="shared" si="18"/>
        <v>3502894.24</v>
      </c>
      <c r="AA29" s="11">
        <v>3304008</v>
      </c>
      <c r="AB29" s="11">
        <v>84366</v>
      </c>
      <c r="AC29" s="11">
        <v>316482.92</v>
      </c>
      <c r="AD29" s="51">
        <f t="shared" si="19"/>
        <v>3704856.92</v>
      </c>
      <c r="AE29" s="2">
        <v>981</v>
      </c>
      <c r="AF29">
        <v>980</v>
      </c>
      <c r="AG29">
        <v>998</v>
      </c>
      <c r="AH29" s="2">
        <f t="shared" si="20"/>
        <v>980.66666666666674</v>
      </c>
      <c r="AI29" s="2">
        <f t="shared" si="21"/>
        <v>986</v>
      </c>
      <c r="AJ29" s="2">
        <v>68</v>
      </c>
      <c r="AK29" s="2">
        <v>67</v>
      </c>
      <c r="AL29" s="2">
        <v>62</v>
      </c>
      <c r="AM29" s="2">
        <f t="shared" si="22"/>
        <v>67.666666666666671</v>
      </c>
      <c r="AN29" s="2">
        <f t="shared" si="23"/>
        <v>65.333333333333329</v>
      </c>
      <c r="AO29" s="2">
        <v>89.93</v>
      </c>
      <c r="AP29" s="2">
        <v>92.39</v>
      </c>
      <c r="AQ29" s="2">
        <v>2163969.42</v>
      </c>
      <c r="AR29" s="2">
        <v>2190498.66</v>
      </c>
      <c r="AS29" s="2">
        <f t="shared" si="24"/>
        <v>2005.2350161236516</v>
      </c>
      <c r="AT29" s="2">
        <f t="shared" si="25"/>
        <v>1975.7717826604612</v>
      </c>
      <c r="AU29" s="2">
        <f>Alusharidus!AH29*2/3+Alusharidus!AL29*1/3</f>
        <v>30</v>
      </c>
      <c r="AV29" s="2">
        <f>Alusharidus!AL29*2/3+Alusharidus!AP29*1/3</f>
        <v>0</v>
      </c>
      <c r="AW29" s="18">
        <f t="shared" si="2"/>
        <v>2.9683377308707123E-2</v>
      </c>
      <c r="AX29" s="18">
        <f t="shared" si="3"/>
        <v>0</v>
      </c>
      <c r="AY29" s="2">
        <f>L29*AW29</f>
        <v>152493.10824538261</v>
      </c>
      <c r="AZ29" s="40"/>
      <c r="BF29" s="2">
        <f t="shared" si="4"/>
        <v>423.59196734828492</v>
      </c>
      <c r="BG29" s="2">
        <f t="shared" si="5"/>
        <v>352.38645054384773</v>
      </c>
      <c r="BH29" s="2">
        <f t="shared" si="6"/>
        <v>37.080637321549965</v>
      </c>
      <c r="BI29" s="2">
        <f t="shared" si="26"/>
        <v>34.124879482887231</v>
      </c>
      <c r="BJ29" s="2">
        <f t="shared" si="7"/>
        <v>446.81300287356322</v>
      </c>
      <c r="BK29" s="2">
        <f t="shared" si="8"/>
        <v>350.39043948613931</v>
      </c>
      <c r="BL29" s="2">
        <f t="shared" si="9"/>
        <v>36.401649763353618</v>
      </c>
      <c r="BM29" s="2">
        <f t="shared" si="27"/>
        <v>60.020913624070289</v>
      </c>
      <c r="BN29" s="2">
        <f t="shared" si="10"/>
        <v>125.92930249444403</v>
      </c>
      <c r="BO29" s="2">
        <f t="shared" si="11"/>
        <v>291.37000679809654</v>
      </c>
      <c r="BP29" s="2">
        <f t="shared" si="28"/>
        <v>6.2926580557443685</v>
      </c>
      <c r="BQ29" s="2">
        <f t="shared" si="12"/>
        <v>133.69122126436784</v>
      </c>
      <c r="BR29" s="2">
        <f t="shared" si="13"/>
        <v>305.99145706558483</v>
      </c>
      <c r="BS29" s="2">
        <f t="shared" si="29"/>
        <v>7.130324543610584</v>
      </c>
      <c r="BT29" s="18">
        <f t="shared" si="30"/>
        <v>0.83190069148338985</v>
      </c>
      <c r="BU29" s="18">
        <f t="shared" si="31"/>
        <v>0.78419928970887842</v>
      </c>
      <c r="BV29" s="18">
        <f t="shared" si="14"/>
        <v>0.68785536378815904</v>
      </c>
      <c r="BW29" s="18">
        <f t="shared" si="15"/>
        <v>0.68483113762956604</v>
      </c>
      <c r="BX29" s="34">
        <f t="shared" si="16"/>
        <v>14.492610837438423</v>
      </c>
      <c r="BY29" s="34">
        <f t="shared" si="17"/>
        <v>15.091836734693878</v>
      </c>
      <c r="BZ29" s="34">
        <f t="shared" si="32"/>
        <v>10.904777790133066</v>
      </c>
      <c r="CA29" s="34">
        <f t="shared" si="33"/>
        <v>10.672150665656456</v>
      </c>
      <c r="CB29" s="29">
        <v>1.25</v>
      </c>
      <c r="CC29" s="2">
        <v>2010.4</v>
      </c>
      <c r="CD29" s="2">
        <v>1964.1</v>
      </c>
      <c r="CE29">
        <v>10254</v>
      </c>
      <c r="CF29" t="s">
        <v>234</v>
      </c>
      <c r="CG29" t="str">
        <f t="shared" ref="CG29:CG35" si="35">IF(CB29&lt;=1.25,"Keskuslik",IF(CB29&lt;=1.75,"Keskus-tagamaaline","Tagamaaline"))</f>
        <v>Keskuslik</v>
      </c>
    </row>
    <row r="30" spans="1:85" ht="14.25" customHeight="1" x14ac:dyDescent="0.35">
      <c r="A30" t="s">
        <v>99</v>
      </c>
      <c r="B30" s="10" t="s">
        <v>35</v>
      </c>
      <c r="C30" s="11">
        <v>139304.23000000001</v>
      </c>
      <c r="D30" s="11">
        <v>-720.83</v>
      </c>
      <c r="E30" s="13"/>
      <c r="F30" s="11">
        <v>987576.42000000027</v>
      </c>
      <c r="G30" s="11">
        <v>155342.70000000001</v>
      </c>
      <c r="H30" s="11">
        <v>126</v>
      </c>
      <c r="I30" s="11">
        <v>5687237.6200000001</v>
      </c>
      <c r="J30" s="11">
        <v>417888.92328000016</v>
      </c>
      <c r="K30" s="11">
        <v>662214.64</v>
      </c>
      <c r="L30" s="12">
        <f t="shared" si="0"/>
        <v>7320269.3799999999</v>
      </c>
      <c r="M30" s="11">
        <v>186202.92</v>
      </c>
      <c r="N30" s="11">
        <v>808.4</v>
      </c>
      <c r="O30" s="11">
        <v>14250</v>
      </c>
      <c r="P30" s="11">
        <v>1171837.1100000001</v>
      </c>
      <c r="Q30" s="11">
        <v>171760.92</v>
      </c>
      <c r="R30" s="11">
        <v>33</v>
      </c>
      <c r="S30" s="11">
        <v>5844367.8599999975</v>
      </c>
      <c r="T30" s="11">
        <v>419269.25760000001</v>
      </c>
      <c r="U30" s="11">
        <v>631062.52</v>
      </c>
      <c r="V30" s="12">
        <f t="shared" si="1"/>
        <v>7662517.8899999969</v>
      </c>
      <c r="W30" s="11">
        <v>4133808</v>
      </c>
      <c r="X30" s="11">
        <v>99331</v>
      </c>
      <c r="Y30" s="11">
        <v>88980.829999999987</v>
      </c>
      <c r="Z30" s="51">
        <f t="shared" si="18"/>
        <v>4322119.83</v>
      </c>
      <c r="AA30" s="11">
        <v>4199543</v>
      </c>
      <c r="AB30" s="11">
        <v>112628</v>
      </c>
      <c r="AC30" s="11">
        <v>91799.19000000009</v>
      </c>
      <c r="AD30" s="51">
        <f t="shared" si="19"/>
        <v>4403970.1900000004</v>
      </c>
      <c r="AE30" s="2">
        <v>1030</v>
      </c>
      <c r="AF30">
        <v>1027</v>
      </c>
      <c r="AG30">
        <v>1037</v>
      </c>
      <c r="AH30" s="2">
        <f t="shared" si="20"/>
        <v>1029</v>
      </c>
      <c r="AI30" s="2">
        <f t="shared" si="21"/>
        <v>1030.3333333333333</v>
      </c>
      <c r="AJ30" s="2">
        <v>81</v>
      </c>
      <c r="AK30" s="2">
        <v>85</v>
      </c>
      <c r="AL30" s="2">
        <v>82</v>
      </c>
      <c r="AM30" s="2">
        <f t="shared" si="22"/>
        <v>82.333333333333329</v>
      </c>
      <c r="AN30" s="2">
        <f t="shared" si="23"/>
        <v>84</v>
      </c>
      <c r="AO30" s="2">
        <v>121.43</v>
      </c>
      <c r="AP30" s="2">
        <v>116.21</v>
      </c>
      <c r="AQ30" s="2">
        <v>2754226.33</v>
      </c>
      <c r="AR30" s="2">
        <v>2794348.35</v>
      </c>
      <c r="AS30" s="2">
        <f t="shared" si="24"/>
        <v>1890.1330876499489</v>
      </c>
      <c r="AT30" s="2">
        <f t="shared" si="25"/>
        <v>2003.8065786076932</v>
      </c>
      <c r="AU30" s="2">
        <f>Alusharidus!AH30*2/3+Alusharidus!AL30*1/3</f>
        <v>83</v>
      </c>
      <c r="AV30" s="2">
        <f>Alusharidus!AL30*2/3+Alusharidus!AP30*1/3</f>
        <v>78.666666666666671</v>
      </c>
      <c r="AW30" s="18">
        <f t="shared" si="2"/>
        <v>7.4640287769784167E-2</v>
      </c>
      <c r="AX30" s="18">
        <f t="shared" si="3"/>
        <v>7.0934776074541628E-2</v>
      </c>
      <c r="AY30" s="40"/>
      <c r="AZ30" s="40"/>
      <c r="BA30" s="25" t="s">
        <v>195</v>
      </c>
      <c r="BF30" s="2">
        <f t="shared" si="4"/>
        <v>592.83036767087788</v>
      </c>
      <c r="BG30" s="2">
        <f t="shared" si="5"/>
        <v>460.57965824425008</v>
      </c>
      <c r="BH30" s="2">
        <f t="shared" si="6"/>
        <v>53.639507612568842</v>
      </c>
      <c r="BI30" s="2">
        <f t="shared" si="26"/>
        <v>78.611201814058944</v>
      </c>
      <c r="BJ30" s="2">
        <f t="shared" si="7"/>
        <v>619.7442486250402</v>
      </c>
      <c r="BK30" s="2">
        <f t="shared" si="8"/>
        <v>472.69232125525701</v>
      </c>
      <c r="BL30" s="2">
        <f t="shared" si="9"/>
        <v>51.042989323843422</v>
      </c>
      <c r="BM30" s="2">
        <f t="shared" si="27"/>
        <v>96.008938045939772</v>
      </c>
      <c r="BN30" s="2">
        <f t="shared" si="10"/>
        <v>242.80446631033362</v>
      </c>
      <c r="BO30" s="2">
        <f t="shared" si="11"/>
        <v>341.98160268869452</v>
      </c>
      <c r="BP30" s="2">
        <f t="shared" si="28"/>
        <v>8.0442986718497309</v>
      </c>
      <c r="BQ30" s="2">
        <f t="shared" si="12"/>
        <v>263.55125363959854</v>
      </c>
      <c r="BR30" s="2">
        <f t="shared" si="13"/>
        <v>347.08364526043357</v>
      </c>
      <c r="BS30" s="2">
        <f t="shared" si="29"/>
        <v>9.1093497250080873</v>
      </c>
      <c r="BT30" s="18">
        <f t="shared" si="30"/>
        <v>0.77691643910514119</v>
      </c>
      <c r="BU30" s="18">
        <f t="shared" si="31"/>
        <v>0.76272159411558649</v>
      </c>
      <c r="BV30" s="18">
        <f t="shared" si="14"/>
        <v>0.57686249109045773</v>
      </c>
      <c r="BW30" s="18">
        <f t="shared" si="15"/>
        <v>0.56004335018916374</v>
      </c>
      <c r="BX30" s="34">
        <f t="shared" si="16"/>
        <v>12.497975708502025</v>
      </c>
      <c r="BY30" s="34">
        <f t="shared" si="17"/>
        <v>12.265873015873016</v>
      </c>
      <c r="BZ30" s="34">
        <f t="shared" si="32"/>
        <v>8.4740179527299677</v>
      </c>
      <c r="CA30" s="34">
        <f t="shared" si="33"/>
        <v>8.8661331497576228</v>
      </c>
      <c r="CB30" s="29">
        <v>1.43</v>
      </c>
      <c r="CC30" s="2">
        <v>2601.1999999999998</v>
      </c>
      <c r="CD30" s="2">
        <v>4579.2</v>
      </c>
      <c r="CE30">
        <v>10465</v>
      </c>
      <c r="CF30" t="s">
        <v>234</v>
      </c>
      <c r="CG30" t="str">
        <f t="shared" si="35"/>
        <v>Keskus-tagamaaline</v>
      </c>
    </row>
    <row r="31" spans="1:85" ht="14.25" customHeight="1" x14ac:dyDescent="0.35">
      <c r="A31" t="s">
        <v>156</v>
      </c>
      <c r="B31" s="10" t="s">
        <v>36</v>
      </c>
      <c r="C31" s="11">
        <v>138206.25</v>
      </c>
      <c r="D31" s="13"/>
      <c r="E31" s="11">
        <v>2676.69</v>
      </c>
      <c r="F31" s="11">
        <v>924861.9600000002</v>
      </c>
      <c r="G31" s="11">
        <v>140057.53</v>
      </c>
      <c r="H31" s="11"/>
      <c r="I31" s="11">
        <v>4853182.42</v>
      </c>
      <c r="J31" s="11">
        <v>286398.53874000005</v>
      </c>
      <c r="K31" s="11">
        <v>443739.01</v>
      </c>
      <c r="L31" s="12">
        <f t="shared" si="0"/>
        <v>6219932.1099999994</v>
      </c>
      <c r="M31" s="11">
        <v>183198.18</v>
      </c>
      <c r="N31" s="13"/>
      <c r="O31" s="11">
        <v>21504.7</v>
      </c>
      <c r="P31" s="11">
        <v>1098736.1399999999</v>
      </c>
      <c r="Q31" s="11">
        <v>144036.21</v>
      </c>
      <c r="R31" s="11"/>
      <c r="S31" s="11">
        <v>4742168.9599999981</v>
      </c>
      <c r="T31" s="11">
        <v>289789.32510000002</v>
      </c>
      <c r="U31" s="11">
        <v>473300.29</v>
      </c>
      <c r="V31" s="12">
        <f t="shared" si="1"/>
        <v>6353367.3599999975</v>
      </c>
      <c r="W31" s="11">
        <v>4072853</v>
      </c>
      <c r="X31" s="11">
        <v>220</v>
      </c>
      <c r="Y31" s="11">
        <v>80669.239999999991</v>
      </c>
      <c r="Z31" s="51">
        <f t="shared" si="18"/>
        <v>4153742.24</v>
      </c>
      <c r="AA31" s="11">
        <v>4093812</v>
      </c>
      <c r="AB31" s="11"/>
      <c r="AC31" s="11">
        <v>202413.32</v>
      </c>
      <c r="AD31" s="51">
        <f t="shared" si="19"/>
        <v>4296225.32</v>
      </c>
      <c r="AE31" s="2">
        <v>979</v>
      </c>
      <c r="AF31">
        <v>958</v>
      </c>
      <c r="AG31">
        <v>900</v>
      </c>
      <c r="AH31" s="2">
        <f t="shared" si="20"/>
        <v>972</v>
      </c>
      <c r="AI31" s="2">
        <f t="shared" si="21"/>
        <v>938.66666666666663</v>
      </c>
      <c r="AJ31" s="2">
        <v>101</v>
      </c>
      <c r="AK31" s="2">
        <v>102</v>
      </c>
      <c r="AL31" s="2">
        <v>85</v>
      </c>
      <c r="AM31" s="2">
        <f t="shared" si="22"/>
        <v>101.33333333333333</v>
      </c>
      <c r="AN31" s="2">
        <f t="shared" si="23"/>
        <v>96.333333333333329</v>
      </c>
      <c r="AO31" s="2">
        <v>107.58</v>
      </c>
      <c r="AP31" s="2">
        <v>101.38</v>
      </c>
      <c r="AQ31" s="2">
        <v>2639548.1</v>
      </c>
      <c r="AR31" s="2">
        <v>2512987.7599999998</v>
      </c>
      <c r="AS31" s="2">
        <f t="shared" si="24"/>
        <v>2044.639725475615</v>
      </c>
      <c r="AT31" s="2">
        <f t="shared" si="25"/>
        <v>2065.6504899059642</v>
      </c>
      <c r="AU31" s="2">
        <f>Alusharidus!AH31*2/3+Alusharidus!AL31*1/3</f>
        <v>118.66666666666667</v>
      </c>
      <c r="AV31" s="2">
        <f>Alusharidus!AL31*2/3+Alusharidus!AP31*1/3</f>
        <v>117.66666666666666</v>
      </c>
      <c r="AW31" s="18">
        <f t="shared" si="2"/>
        <v>0.10880195599022005</v>
      </c>
      <c r="AX31" s="18">
        <f t="shared" si="3"/>
        <v>0.11139160618491638</v>
      </c>
      <c r="AY31" s="40">
        <f>571883.92*AW31</f>
        <v>62222.089095354531</v>
      </c>
      <c r="AZ31" s="40">
        <f>577633.99*AX31</f>
        <v>64343.577933101922</v>
      </c>
      <c r="BA31" s="25" t="s">
        <v>195</v>
      </c>
      <c r="BB31" s="41"/>
      <c r="BC31" s="25" t="s">
        <v>198</v>
      </c>
      <c r="BE31" t="s">
        <v>199</v>
      </c>
      <c r="BF31" s="2">
        <f t="shared" si="4"/>
        <v>527.92438450828581</v>
      </c>
      <c r="BG31" s="2">
        <f t="shared" si="5"/>
        <v>416.08216906721537</v>
      </c>
      <c r="BH31" s="2">
        <f t="shared" si="6"/>
        <v>38.04346793552812</v>
      </c>
      <c r="BI31" s="2">
        <f t="shared" si="26"/>
        <v>73.798747505542309</v>
      </c>
      <c r="BJ31" s="2">
        <f t="shared" si="7"/>
        <v>558.32952610679115</v>
      </c>
      <c r="BK31" s="2">
        <f t="shared" si="8"/>
        <v>421.00221590909081</v>
      </c>
      <c r="BL31" s="2">
        <f t="shared" si="9"/>
        <v>42.018846768465913</v>
      </c>
      <c r="BM31" s="2">
        <f t="shared" si="27"/>
        <v>95.308463429234422</v>
      </c>
      <c r="BN31" s="2">
        <f t="shared" si="10"/>
        <v>171.80793732035707</v>
      </c>
      <c r="BO31" s="2">
        <f t="shared" si="11"/>
        <v>356.097585733882</v>
      </c>
      <c r="BP31" s="2">
        <f t="shared" si="28"/>
        <v>1.8861454046771087E-2</v>
      </c>
      <c r="BQ31" s="2">
        <f t="shared" si="12"/>
        <v>176.91747710110931</v>
      </c>
      <c r="BR31" s="2">
        <f t="shared" si="13"/>
        <v>381.41204900568187</v>
      </c>
      <c r="BS31" s="2">
        <f t="shared" si="29"/>
        <v>0</v>
      </c>
      <c r="BT31" s="18">
        <f t="shared" si="30"/>
        <v>0.78814728259759881</v>
      </c>
      <c r="BU31" s="18">
        <f t="shared" si="31"/>
        <v>0.75403896126490388</v>
      </c>
      <c r="BV31" s="18">
        <f t="shared" si="14"/>
        <v>0.67452384504942886</v>
      </c>
      <c r="BW31" s="18">
        <f t="shared" si="15"/>
        <v>0.68313071612968845</v>
      </c>
      <c r="BX31" s="34">
        <f t="shared" si="16"/>
        <v>9.5921052631578956</v>
      </c>
      <c r="BY31" s="34">
        <f t="shared" si="17"/>
        <v>9.7439446366782008</v>
      </c>
      <c r="BZ31" s="34">
        <f t="shared" si="32"/>
        <v>9.035136642498605</v>
      </c>
      <c r="CA31" s="34">
        <f t="shared" si="33"/>
        <v>9.2588939304267779</v>
      </c>
      <c r="CB31" s="29">
        <v>2.0099999999999998</v>
      </c>
      <c r="CC31" s="2">
        <v>3318.9</v>
      </c>
      <c r="CD31" s="2">
        <v>4167</v>
      </c>
      <c r="CE31">
        <v>8512</v>
      </c>
      <c r="CF31" t="s">
        <v>234</v>
      </c>
      <c r="CG31" t="str">
        <f t="shared" si="35"/>
        <v>Tagamaaline</v>
      </c>
    </row>
    <row r="32" spans="1:85" ht="14.25" customHeight="1" x14ac:dyDescent="0.35">
      <c r="A32" t="s">
        <v>154</v>
      </c>
      <c r="B32" s="10" t="s">
        <v>37</v>
      </c>
      <c r="C32" s="11">
        <v>203708.27</v>
      </c>
      <c r="D32" s="13"/>
      <c r="E32" s="13"/>
      <c r="F32" s="11">
        <v>1202020.2</v>
      </c>
      <c r="G32" s="11">
        <v>129659.06</v>
      </c>
      <c r="H32" s="11"/>
      <c r="I32" s="11">
        <v>5714423.6400000006</v>
      </c>
      <c r="J32" s="11">
        <v>314854.58753999998</v>
      </c>
      <c r="K32" s="11">
        <v>438625.44</v>
      </c>
      <c r="L32" s="12">
        <f t="shared" si="0"/>
        <v>7429118.4900000012</v>
      </c>
      <c r="M32" s="11">
        <v>249738.23</v>
      </c>
      <c r="N32" s="13"/>
      <c r="O32" s="13"/>
      <c r="P32" s="11">
        <v>1372278.46</v>
      </c>
      <c r="Q32" s="11">
        <v>127466.91</v>
      </c>
      <c r="R32" s="11"/>
      <c r="S32" s="11">
        <v>5794755.5899999999</v>
      </c>
      <c r="T32" s="11">
        <v>317668.76280000003</v>
      </c>
      <c r="U32" s="11">
        <v>377005.97</v>
      </c>
      <c r="V32" s="12">
        <f t="shared" si="1"/>
        <v>7666311.3399999989</v>
      </c>
      <c r="W32" s="11">
        <v>4357746</v>
      </c>
      <c r="X32" s="11">
        <v>105468</v>
      </c>
      <c r="Y32" s="11">
        <v>194170.14</v>
      </c>
      <c r="Z32" s="51">
        <f t="shared" si="18"/>
        <v>4657384.1399999997</v>
      </c>
      <c r="AA32" s="11">
        <v>4461480</v>
      </c>
      <c r="AB32" s="11">
        <v>118742.5</v>
      </c>
      <c r="AC32" s="11">
        <v>337710.6</v>
      </c>
      <c r="AD32" s="51">
        <f t="shared" si="19"/>
        <v>4917933.0999999996</v>
      </c>
      <c r="AE32" s="2">
        <v>1243</v>
      </c>
      <c r="AF32">
        <v>1223</v>
      </c>
      <c r="AG32">
        <v>1206</v>
      </c>
      <c r="AH32" s="2">
        <f t="shared" si="20"/>
        <v>1236.3333333333333</v>
      </c>
      <c r="AI32" s="2">
        <f t="shared" si="21"/>
        <v>1217.3333333333335</v>
      </c>
      <c r="AJ32" s="2">
        <v>87</v>
      </c>
      <c r="AK32" s="2">
        <v>91</v>
      </c>
      <c r="AL32" s="2">
        <v>80</v>
      </c>
      <c r="AM32" s="2">
        <f t="shared" si="22"/>
        <v>88.333333333333329</v>
      </c>
      <c r="AN32" s="2">
        <f t="shared" si="23"/>
        <v>87.333333333333329</v>
      </c>
      <c r="AO32" s="2">
        <v>116.22</v>
      </c>
      <c r="AP32" s="2">
        <v>116.24</v>
      </c>
      <c r="AQ32" s="2">
        <v>2738130.45</v>
      </c>
      <c r="AR32" s="2">
        <v>2772931.04</v>
      </c>
      <c r="AS32" s="2">
        <f t="shared" si="24"/>
        <v>1963.3241911891243</v>
      </c>
      <c r="AT32" s="2">
        <f t="shared" si="25"/>
        <v>1987.935191557697</v>
      </c>
      <c r="AU32" s="2">
        <f>Alusharidus!AH32*2/3+Alusharidus!AL32*1/3</f>
        <v>164.66666666666666</v>
      </c>
      <c r="AV32" s="2">
        <f>Alusharidus!AL32*2/3+Alusharidus!AP32*1/3</f>
        <v>162.66666666666669</v>
      </c>
      <c r="AW32" s="18">
        <f t="shared" si="2"/>
        <v>0.11753509398049011</v>
      </c>
      <c r="AX32" s="18">
        <f t="shared" si="3"/>
        <v>0.11787439613526569</v>
      </c>
      <c r="AY32" s="40">
        <f>(L32-I32)*AW32</f>
        <v>201536.82034261245</v>
      </c>
      <c r="AZ32" s="40">
        <f>(V32-S32)*AX32</f>
        <v>220608.50386473417</v>
      </c>
      <c r="BB32" s="41" t="s">
        <v>195</v>
      </c>
      <c r="BC32" s="41" t="s">
        <v>195</v>
      </c>
      <c r="BF32" s="2">
        <f t="shared" si="4"/>
        <v>487.16511658515697</v>
      </c>
      <c r="BG32" s="2">
        <f t="shared" si="5"/>
        <v>385.17279859800493</v>
      </c>
      <c r="BH32" s="2">
        <f t="shared" si="6"/>
        <v>29.564939336748452</v>
      </c>
      <c r="BI32" s="2">
        <f t="shared" si="26"/>
        <v>72.427378650403583</v>
      </c>
      <c r="BJ32" s="2">
        <f t="shared" si="7"/>
        <v>509.70035844299446</v>
      </c>
      <c r="BK32" s="2">
        <f t="shared" si="8"/>
        <v>396.68370687294629</v>
      </c>
      <c r="BL32" s="2">
        <f t="shared" si="9"/>
        <v>25.808185240963851</v>
      </c>
      <c r="BM32" s="2">
        <f t="shared" si="27"/>
        <v>87.208466329084317</v>
      </c>
      <c r="BN32" s="2">
        <f t="shared" si="10"/>
        <v>173.24059919502488</v>
      </c>
      <c r="BO32" s="2">
        <f t="shared" si="11"/>
        <v>306.81559315179294</v>
      </c>
      <c r="BP32" s="2">
        <f t="shared" si="28"/>
        <v>7.1089242383391706</v>
      </c>
      <c r="BQ32" s="2">
        <f t="shared" si="12"/>
        <v>173.04009694244692</v>
      </c>
      <c r="BR32" s="2">
        <f t="shared" si="13"/>
        <v>328.53166757940846</v>
      </c>
      <c r="BS32" s="2">
        <f t="shared" si="29"/>
        <v>8.1285939211390996</v>
      </c>
      <c r="BT32" s="18">
        <f t="shared" si="30"/>
        <v>0.79064117172001236</v>
      </c>
      <c r="BU32" s="18">
        <f t="shared" si="31"/>
        <v>0.77826844792637495</v>
      </c>
      <c r="BV32" s="18">
        <f t="shared" si="14"/>
        <v>0.62979795290445684</v>
      </c>
      <c r="BW32" s="18">
        <f t="shared" si="15"/>
        <v>0.64455843936031265</v>
      </c>
      <c r="BX32" s="34">
        <f t="shared" si="16"/>
        <v>13.996226415094339</v>
      </c>
      <c r="BY32" s="34">
        <f t="shared" si="17"/>
        <v>13.938931297709926</v>
      </c>
      <c r="BZ32" s="34">
        <f t="shared" si="32"/>
        <v>10.637870704984799</v>
      </c>
      <c r="CA32" s="34">
        <f t="shared" si="33"/>
        <v>10.472585455379676</v>
      </c>
      <c r="CB32" s="29">
        <v>1.57</v>
      </c>
      <c r="CC32" s="2">
        <v>2939.5</v>
      </c>
      <c r="CD32" s="2">
        <v>3849.9</v>
      </c>
      <c r="CE32">
        <v>12824</v>
      </c>
      <c r="CF32" t="s">
        <v>234</v>
      </c>
      <c r="CG32" t="str">
        <f t="shared" si="35"/>
        <v>Keskus-tagamaaline</v>
      </c>
    </row>
    <row r="33" spans="1:85" ht="14.25" customHeight="1" x14ac:dyDescent="0.35">
      <c r="A33" t="s">
        <v>120</v>
      </c>
      <c r="B33" s="10" t="s">
        <v>38</v>
      </c>
      <c r="C33" s="11">
        <v>116564.48</v>
      </c>
      <c r="D33" s="13"/>
      <c r="E33" s="13"/>
      <c r="F33" s="11">
        <v>737612.42999999982</v>
      </c>
      <c r="G33" s="11">
        <v>94847.45</v>
      </c>
      <c r="H33" s="11"/>
      <c r="I33" s="11">
        <v>4360848.4800000004</v>
      </c>
      <c r="J33" s="11">
        <v>187044.61283999999</v>
      </c>
      <c r="K33" s="11">
        <v>274936.33</v>
      </c>
      <c r="L33" s="12">
        <f t="shared" si="0"/>
        <v>5395114.2700000005</v>
      </c>
      <c r="M33" s="11">
        <v>120339.75</v>
      </c>
      <c r="N33" s="13"/>
      <c r="O33" s="13"/>
      <c r="P33" s="11">
        <v>786394.99</v>
      </c>
      <c r="Q33" s="11">
        <v>122873.5</v>
      </c>
      <c r="R33" s="11"/>
      <c r="S33" s="11">
        <v>4560774.5700000012</v>
      </c>
      <c r="T33" s="11">
        <v>216232.22652000003</v>
      </c>
      <c r="U33" s="11">
        <v>273885.26</v>
      </c>
      <c r="V33" s="12">
        <f t="shared" si="1"/>
        <v>5618521.0700000012</v>
      </c>
      <c r="W33" s="11">
        <v>3791083</v>
      </c>
      <c r="X33" s="11">
        <v>105978</v>
      </c>
      <c r="Y33" s="11">
        <v>170673.17999999988</v>
      </c>
      <c r="Z33" s="51">
        <f t="shared" si="18"/>
        <v>4067734.1799999997</v>
      </c>
      <c r="AA33" s="11">
        <v>3813661</v>
      </c>
      <c r="AB33" s="11">
        <v>112308</v>
      </c>
      <c r="AC33" s="11">
        <v>159301.46999999997</v>
      </c>
      <c r="AD33" s="51">
        <f t="shared" si="19"/>
        <v>4085270.4699999997</v>
      </c>
      <c r="AE33" s="2">
        <v>964</v>
      </c>
      <c r="AF33">
        <v>964</v>
      </c>
      <c r="AG33">
        <v>946</v>
      </c>
      <c r="AH33" s="2">
        <f t="shared" si="20"/>
        <v>964</v>
      </c>
      <c r="AI33" s="2">
        <f t="shared" si="21"/>
        <v>958</v>
      </c>
      <c r="AJ33" s="2">
        <v>72</v>
      </c>
      <c r="AK33" s="2">
        <v>79</v>
      </c>
      <c r="AL33" s="2">
        <v>78</v>
      </c>
      <c r="AM33" s="2">
        <f t="shared" si="22"/>
        <v>74.333333333333329</v>
      </c>
      <c r="AN33" s="2">
        <f t="shared" si="23"/>
        <v>78.666666666666657</v>
      </c>
      <c r="AO33" s="2">
        <v>103</v>
      </c>
      <c r="AP33" s="2">
        <v>102.28</v>
      </c>
      <c r="AQ33" s="2">
        <v>2399505.35</v>
      </c>
      <c r="AR33" s="2">
        <v>2455496.6800000011</v>
      </c>
      <c r="AS33" s="2">
        <f t="shared" si="24"/>
        <v>1941.3473705501619</v>
      </c>
      <c r="AT33" s="2">
        <f t="shared" si="25"/>
        <v>2000.6328053708783</v>
      </c>
      <c r="AU33" s="2">
        <f>Alusharidus!AH33*2/3+Alusharidus!AL33*1/3</f>
        <v>48</v>
      </c>
      <c r="AV33" s="2">
        <f>Alusharidus!AL33*2/3+Alusharidus!AP33*1/3</f>
        <v>48</v>
      </c>
      <c r="AW33" s="18">
        <f t="shared" si="2"/>
        <v>4.7430830039525688E-2</v>
      </c>
      <c r="AX33" s="18">
        <f t="shared" si="3"/>
        <v>4.7713717693836977E-2</v>
      </c>
      <c r="AY33" s="40">
        <f>(L33-I33)*AW33</f>
        <v>49056.084901185772</v>
      </c>
      <c r="AZ33" s="40">
        <f>(V33-S33)*AX33</f>
        <v>50469.017892644137</v>
      </c>
      <c r="BB33" s="41" t="s">
        <v>195</v>
      </c>
      <c r="BC33" s="41" t="s">
        <v>195</v>
      </c>
      <c r="BF33" s="2">
        <f t="shared" si="4"/>
        <v>462.1419592927744</v>
      </c>
      <c r="BG33" s="2">
        <f t="shared" si="5"/>
        <v>376.97514522821581</v>
      </c>
      <c r="BH33" s="2">
        <f t="shared" si="6"/>
        <v>23.766971818810514</v>
      </c>
      <c r="BI33" s="2">
        <f t="shared" si="26"/>
        <v>61.399842245748076</v>
      </c>
      <c r="BJ33" s="2">
        <f t="shared" si="7"/>
        <v>484.34690780335399</v>
      </c>
      <c r="BK33" s="2">
        <f t="shared" si="8"/>
        <v>396.72708507306902</v>
      </c>
      <c r="BL33" s="2">
        <f t="shared" si="9"/>
        <v>23.824396311760612</v>
      </c>
      <c r="BM33" s="2">
        <f t="shared" si="27"/>
        <v>63.795426418524357</v>
      </c>
      <c r="BN33" s="2">
        <f t="shared" si="10"/>
        <v>110.50518716276065</v>
      </c>
      <c r="BO33" s="2">
        <f t="shared" si="11"/>
        <v>342.47546507607188</v>
      </c>
      <c r="BP33" s="2">
        <f t="shared" si="28"/>
        <v>9.1613070539418686</v>
      </c>
      <c r="BQ33" s="2">
        <f t="shared" si="12"/>
        <v>128.98239231970751</v>
      </c>
      <c r="BR33" s="2">
        <f t="shared" si="13"/>
        <v>345.59520441892829</v>
      </c>
      <c r="BS33" s="2">
        <f t="shared" si="29"/>
        <v>9.7693110647181811</v>
      </c>
      <c r="BT33" s="18">
        <f t="shared" si="30"/>
        <v>0.81571287273959892</v>
      </c>
      <c r="BU33" s="18">
        <f t="shared" si="31"/>
        <v>0.81909697095483713</v>
      </c>
      <c r="BV33" s="18">
        <f t="shared" si="14"/>
        <v>0.74106117869100074</v>
      </c>
      <c r="BW33" s="18">
        <f t="shared" si="15"/>
        <v>0.71352825598969405</v>
      </c>
      <c r="BX33" s="34">
        <f t="shared" si="16"/>
        <v>12.968609865470853</v>
      </c>
      <c r="BY33" s="34">
        <f t="shared" si="17"/>
        <v>12.177966101694917</v>
      </c>
      <c r="BZ33" s="34">
        <f t="shared" si="32"/>
        <v>9.3592233009708732</v>
      </c>
      <c r="CA33" s="34">
        <f t="shared" si="33"/>
        <v>9.3664450527962462</v>
      </c>
      <c r="CB33" s="29">
        <v>1.57</v>
      </c>
      <c r="CC33" s="2">
        <v>3270</v>
      </c>
      <c r="CD33" s="2">
        <v>4090.2</v>
      </c>
      <c r="CE33">
        <v>9178</v>
      </c>
      <c r="CF33" t="s">
        <v>233</v>
      </c>
      <c r="CG33" t="str">
        <f t="shared" si="35"/>
        <v>Keskus-tagamaaline</v>
      </c>
    </row>
    <row r="34" spans="1:85" ht="14.25" customHeight="1" x14ac:dyDescent="0.35">
      <c r="A34" t="s">
        <v>131</v>
      </c>
      <c r="B34" s="10" t="s">
        <v>39</v>
      </c>
      <c r="C34" s="11">
        <v>80447.950000000012</v>
      </c>
      <c r="D34" s="11">
        <v>40.11</v>
      </c>
      <c r="E34" s="13"/>
      <c r="F34" s="11">
        <v>516698.53000000009</v>
      </c>
      <c r="G34" s="11">
        <v>114082.89</v>
      </c>
      <c r="H34" s="11"/>
      <c r="I34" s="11">
        <v>2844395.18</v>
      </c>
      <c r="J34" s="11">
        <v>157956.77382</v>
      </c>
      <c r="K34" s="11">
        <v>176960.55</v>
      </c>
      <c r="L34" s="12">
        <f t="shared" si="0"/>
        <v>3504459.43</v>
      </c>
      <c r="M34" s="11">
        <v>91018.85</v>
      </c>
      <c r="N34" s="13"/>
      <c r="O34" s="13"/>
      <c r="P34" s="11">
        <v>615685.67000000039</v>
      </c>
      <c r="Q34" s="11">
        <v>117842.5</v>
      </c>
      <c r="R34" s="11">
        <v>155.25</v>
      </c>
      <c r="S34" s="11">
        <v>2926244.6</v>
      </c>
      <c r="T34" s="11">
        <v>172353.74748000002</v>
      </c>
      <c r="U34" s="11">
        <v>160583.94</v>
      </c>
      <c r="V34" s="12">
        <f t="shared" si="1"/>
        <v>3675690.5600000005</v>
      </c>
      <c r="W34" s="11">
        <v>1994351</v>
      </c>
      <c r="X34" s="11">
        <v>103020</v>
      </c>
      <c r="Y34" s="11">
        <v>55880.700000000012</v>
      </c>
      <c r="Z34" s="51">
        <f t="shared" si="18"/>
        <v>2153251.7000000002</v>
      </c>
      <c r="AA34" s="11">
        <v>1965984</v>
      </c>
      <c r="AB34" s="11">
        <v>101915</v>
      </c>
      <c r="AC34" s="11">
        <v>160832.97999999998</v>
      </c>
      <c r="AD34" s="51">
        <f t="shared" si="19"/>
        <v>2228731.98</v>
      </c>
      <c r="AE34" s="2">
        <v>434</v>
      </c>
      <c r="AF34">
        <v>417</v>
      </c>
      <c r="AG34">
        <v>391</v>
      </c>
      <c r="AH34" s="2">
        <f t="shared" si="20"/>
        <v>428.33333333333331</v>
      </c>
      <c r="AI34" s="2">
        <f t="shared" si="21"/>
        <v>408.33333333333337</v>
      </c>
      <c r="AJ34" s="2">
        <v>46</v>
      </c>
      <c r="AK34" s="2">
        <v>45</v>
      </c>
      <c r="AL34" s="2">
        <v>42</v>
      </c>
      <c r="AM34" s="2">
        <f t="shared" si="22"/>
        <v>45.666666666666671</v>
      </c>
      <c r="AN34" s="2">
        <f t="shared" si="23"/>
        <v>44</v>
      </c>
      <c r="AO34" s="2">
        <v>56.84</v>
      </c>
      <c r="AP34" s="2">
        <v>58.34</v>
      </c>
      <c r="AQ34" s="2">
        <v>1425272.34</v>
      </c>
      <c r="AR34" s="2">
        <v>1458238.71</v>
      </c>
      <c r="AS34" s="2">
        <f t="shared" si="24"/>
        <v>2089.597026741731</v>
      </c>
      <c r="AT34" s="2">
        <f t="shared" si="25"/>
        <v>2082.9601045594786</v>
      </c>
      <c r="AU34" s="2">
        <f>Alusharidus!AH34*2/3+Alusharidus!AL34*1/3</f>
        <v>46</v>
      </c>
      <c r="AV34" s="2">
        <f>Alusharidus!AL34*2/3+Alusharidus!AP34*1/3</f>
        <v>43.666666666666671</v>
      </c>
      <c r="AW34" s="18">
        <f t="shared" si="2"/>
        <v>9.6978215038650742E-2</v>
      </c>
      <c r="AX34" s="18">
        <f t="shared" si="3"/>
        <v>9.6607669616519176E-2</v>
      </c>
      <c r="AY34" s="40"/>
      <c r="AZ34" s="40"/>
      <c r="BA34" s="25" t="s">
        <v>195</v>
      </c>
      <c r="BF34" s="2">
        <f t="shared" si="4"/>
        <v>681.80144552529191</v>
      </c>
      <c r="BG34" s="2">
        <f t="shared" si="5"/>
        <v>553.38427626459145</v>
      </c>
      <c r="BH34" s="2">
        <f t="shared" si="6"/>
        <v>34.428122568093386</v>
      </c>
      <c r="BI34" s="2">
        <f t="shared" si="26"/>
        <v>93.989046692607076</v>
      </c>
      <c r="BJ34" s="2">
        <f t="shared" si="7"/>
        <v>750.14093061224492</v>
      </c>
      <c r="BK34" s="2">
        <f t="shared" si="8"/>
        <v>597.19277551020411</v>
      </c>
      <c r="BL34" s="2">
        <f t="shared" si="9"/>
        <v>32.803916326530612</v>
      </c>
      <c r="BM34" s="2">
        <f t="shared" si="27"/>
        <v>120.14423877551019</v>
      </c>
      <c r="BN34" s="2">
        <f t="shared" si="10"/>
        <v>262.88088132295724</v>
      </c>
      <c r="BO34" s="2">
        <f t="shared" si="11"/>
        <v>398.8777626459144</v>
      </c>
      <c r="BP34" s="2">
        <f t="shared" si="28"/>
        <v>20.042801556420272</v>
      </c>
      <c r="BQ34" s="2">
        <f t="shared" si="12"/>
        <v>295.29766938775521</v>
      </c>
      <c r="BR34" s="2">
        <f t="shared" si="13"/>
        <v>434.04428163265305</v>
      </c>
      <c r="BS34" s="2">
        <f t="shared" si="29"/>
        <v>20.798979591836655</v>
      </c>
      <c r="BT34" s="18">
        <f t="shared" si="30"/>
        <v>0.81165019507730463</v>
      </c>
      <c r="BU34" s="18">
        <f t="shared" si="31"/>
        <v>0.79610743946846274</v>
      </c>
      <c r="BV34" s="18">
        <f t="shared" si="14"/>
        <v>0.58503507914771324</v>
      </c>
      <c r="BW34" s="18">
        <f t="shared" si="15"/>
        <v>0.57861698238276071</v>
      </c>
      <c r="BX34" s="34">
        <f t="shared" si="16"/>
        <v>9.3795620437956195</v>
      </c>
      <c r="BY34" s="34">
        <f t="shared" si="17"/>
        <v>9.2803030303030312</v>
      </c>
      <c r="BZ34" s="34">
        <f t="shared" si="32"/>
        <v>7.535772929861599</v>
      </c>
      <c r="CA34" s="34">
        <f t="shared" si="33"/>
        <v>6.9992000914181238</v>
      </c>
      <c r="CB34" s="29">
        <v>1.92</v>
      </c>
      <c r="CC34" s="2">
        <v>3960.6</v>
      </c>
      <c r="CD34" s="2">
        <v>4274.5</v>
      </c>
      <c r="CE34">
        <v>5145</v>
      </c>
      <c r="CF34" t="s">
        <v>234</v>
      </c>
      <c r="CG34" t="str">
        <f t="shared" si="35"/>
        <v>Tagamaaline</v>
      </c>
    </row>
    <row r="35" spans="1:85" ht="14.25" customHeight="1" x14ac:dyDescent="0.35">
      <c r="A35" t="s">
        <v>161</v>
      </c>
      <c r="B35" s="10" t="s">
        <v>40</v>
      </c>
      <c r="C35" s="11">
        <v>130176.38</v>
      </c>
      <c r="D35" s="11">
        <v>258.72000000000003</v>
      </c>
      <c r="E35" s="11">
        <v>24920</v>
      </c>
      <c r="F35" s="11">
        <v>798197.87000000023</v>
      </c>
      <c r="G35" s="11">
        <v>92494.53</v>
      </c>
      <c r="H35" s="11">
        <v>5034.6500000000005</v>
      </c>
      <c r="I35" s="11">
        <v>5610576.6000000006</v>
      </c>
      <c r="J35" s="11">
        <v>298198.88256</v>
      </c>
      <c r="K35" s="11">
        <v>599213.94000000006</v>
      </c>
      <c r="L35" s="12">
        <f t="shared" si="0"/>
        <v>7045928.9800000004</v>
      </c>
      <c r="M35" s="11">
        <v>195590.12</v>
      </c>
      <c r="N35" s="11">
        <v>227.85</v>
      </c>
      <c r="O35" s="11">
        <v>28000</v>
      </c>
      <c r="P35" s="11">
        <v>1045630.87</v>
      </c>
      <c r="Q35" s="11">
        <v>104202.06</v>
      </c>
      <c r="R35" s="11">
        <v>3410.97</v>
      </c>
      <c r="S35" s="11">
        <v>5687378.1100000003</v>
      </c>
      <c r="T35" s="11">
        <v>298854.70325999998</v>
      </c>
      <c r="U35" s="11">
        <v>563993.43000000005</v>
      </c>
      <c r="V35" s="12">
        <f t="shared" si="1"/>
        <v>7388618.3200000003</v>
      </c>
      <c r="W35" s="11">
        <v>4029510</v>
      </c>
      <c r="X35" s="11">
        <v>50334</v>
      </c>
      <c r="Y35" s="11">
        <v>107111.09</v>
      </c>
      <c r="Z35" s="51">
        <f t="shared" si="18"/>
        <v>4186955.09</v>
      </c>
      <c r="AA35" s="11">
        <v>3940534</v>
      </c>
      <c r="AB35" s="11">
        <v>51121</v>
      </c>
      <c r="AC35" s="11">
        <v>372299.08000000007</v>
      </c>
      <c r="AD35" s="51">
        <f t="shared" si="19"/>
        <v>4363954.08</v>
      </c>
      <c r="AE35" s="2">
        <v>1244</v>
      </c>
      <c r="AF35">
        <v>1187</v>
      </c>
      <c r="AG35">
        <v>1189</v>
      </c>
      <c r="AH35" s="2">
        <f t="shared" si="20"/>
        <v>1225</v>
      </c>
      <c r="AI35" s="2">
        <f t="shared" si="21"/>
        <v>1187.6666666666667</v>
      </c>
      <c r="AJ35" s="2">
        <v>74</v>
      </c>
      <c r="AK35" s="2">
        <v>71</v>
      </c>
      <c r="AL35" s="2">
        <v>70</v>
      </c>
      <c r="AM35" s="2">
        <f t="shared" si="22"/>
        <v>73</v>
      </c>
      <c r="AN35" s="2">
        <f t="shared" si="23"/>
        <v>70.666666666666671</v>
      </c>
      <c r="AO35" s="2">
        <v>110.27</v>
      </c>
      <c r="AP35" s="2">
        <v>109.92</v>
      </c>
      <c r="AQ35" s="2">
        <v>2649030.9500000002</v>
      </c>
      <c r="AR35" s="2">
        <v>2590931.84</v>
      </c>
      <c r="AS35" s="2">
        <f t="shared" si="24"/>
        <v>2001.9278059913547</v>
      </c>
      <c r="AT35" s="2">
        <f t="shared" si="25"/>
        <v>1964.2557011159631</v>
      </c>
      <c r="AU35" s="2">
        <f>Alusharidus!AH35*2/3+Alusharidus!AL35*1/3</f>
        <v>88.666666666666671</v>
      </c>
      <c r="AV35" s="2">
        <f>Alusharidus!AL35*2/3+Alusharidus!AP35*1/3</f>
        <v>91.333333333333343</v>
      </c>
      <c r="AW35" s="18">
        <f t="shared" si="2"/>
        <v>6.7495559502664296E-2</v>
      </c>
      <c r="AX35" s="18">
        <f t="shared" si="3"/>
        <v>7.1409955694553037E-2</v>
      </c>
      <c r="AY35" s="40"/>
      <c r="AZ35" s="40"/>
      <c r="BA35" s="25" t="s">
        <v>195</v>
      </c>
      <c r="BF35" s="2">
        <f t="shared" si="4"/>
        <v>479.31489659863951</v>
      </c>
      <c r="BG35" s="2">
        <f t="shared" si="5"/>
        <v>381.67187755102049</v>
      </c>
      <c r="BH35" s="2">
        <f t="shared" si="6"/>
        <v>41.10534625850341</v>
      </c>
      <c r="BI35" s="2">
        <f t="shared" si="26"/>
        <v>56.537672789115611</v>
      </c>
      <c r="BJ35" s="2">
        <f t="shared" si="7"/>
        <v>518.42676957619983</v>
      </c>
      <c r="BK35" s="2">
        <f t="shared" si="8"/>
        <v>399.05824515857421</v>
      </c>
      <c r="BL35" s="2">
        <f t="shared" si="9"/>
        <v>39.81226494527084</v>
      </c>
      <c r="BM35" s="2">
        <f t="shared" si="27"/>
        <v>79.556259472354782</v>
      </c>
      <c r="BN35" s="2">
        <f t="shared" si="10"/>
        <v>194.48801972789121</v>
      </c>
      <c r="BO35" s="2">
        <f t="shared" si="11"/>
        <v>281.40279523809522</v>
      </c>
      <c r="BP35" s="2">
        <f t="shared" si="28"/>
        <v>3.4240816326530421</v>
      </c>
      <c r="BQ35" s="2">
        <f t="shared" si="12"/>
        <v>212.22735335391522</v>
      </c>
      <c r="BR35" s="2">
        <f t="shared" si="13"/>
        <v>302.61248105529046</v>
      </c>
      <c r="BS35" s="2">
        <f t="shared" si="29"/>
        <v>3.5869351669941807</v>
      </c>
      <c r="BT35" s="18">
        <f t="shared" si="30"/>
        <v>0.79628628331703688</v>
      </c>
      <c r="BU35" s="18">
        <f t="shared" si="31"/>
        <v>0.76974853263228238</v>
      </c>
      <c r="BV35" s="18">
        <f t="shared" si="14"/>
        <v>0.5870937816350229</v>
      </c>
      <c r="BW35" s="18">
        <f t="shared" si="15"/>
        <v>0.58371306964466396</v>
      </c>
      <c r="BX35" s="34">
        <f t="shared" si="16"/>
        <v>16.780821917808218</v>
      </c>
      <c r="BY35" s="34">
        <f t="shared" si="17"/>
        <v>16.806603773584907</v>
      </c>
      <c r="BZ35" s="34">
        <f t="shared" si="32"/>
        <v>11.109095855627098</v>
      </c>
      <c r="CA35" s="34">
        <f t="shared" si="33"/>
        <v>10.80482775351771</v>
      </c>
      <c r="CB35" s="29">
        <v>1.1599999999999999</v>
      </c>
      <c r="CC35" s="2">
        <v>1847.8</v>
      </c>
      <c r="CD35" s="2">
        <v>2544</v>
      </c>
      <c r="CE35">
        <v>12822</v>
      </c>
      <c r="CF35" t="s">
        <v>234</v>
      </c>
      <c r="CG35" t="str">
        <f t="shared" si="35"/>
        <v>Keskuslik</v>
      </c>
    </row>
    <row r="36" spans="1:85" ht="14.25" customHeight="1" x14ac:dyDescent="0.35">
      <c r="A36" t="s">
        <v>92</v>
      </c>
      <c r="B36" s="10" t="s">
        <v>41</v>
      </c>
      <c r="C36" s="11">
        <v>7932.22</v>
      </c>
      <c r="D36" s="13"/>
      <c r="E36" s="11">
        <v>6440</v>
      </c>
      <c r="F36" s="11">
        <v>63704.87999999999</v>
      </c>
      <c r="G36" s="11">
        <v>7677</v>
      </c>
      <c r="H36" s="11"/>
      <c r="I36" s="11">
        <v>254532.4</v>
      </c>
      <c r="J36" s="11">
        <v>27770.37732</v>
      </c>
      <c r="K36" s="11">
        <v>48865.75</v>
      </c>
      <c r="L36" s="12">
        <f t="shared" ref="L36:L67" si="36">C36+D36+F36+I36+K36-G36</f>
        <v>367358.25</v>
      </c>
      <c r="M36" s="11">
        <v>9289.3700000000008</v>
      </c>
      <c r="N36" s="13"/>
      <c r="O36" s="11">
        <v>6750</v>
      </c>
      <c r="P36" s="11">
        <v>76012.28</v>
      </c>
      <c r="Q36" s="11">
        <v>8829</v>
      </c>
      <c r="R36" s="11"/>
      <c r="S36" s="11">
        <v>264806.72999999992</v>
      </c>
      <c r="T36" s="11">
        <v>37605.105479999998</v>
      </c>
      <c r="U36" s="11">
        <v>49570.86</v>
      </c>
      <c r="V36" s="12">
        <f t="shared" ref="V36:V67" si="37">M36+N36+P36+S36+U36-Q36</f>
        <v>390850.23999999987</v>
      </c>
      <c r="W36" s="11">
        <v>239593</v>
      </c>
      <c r="X36" s="11">
        <v>5064</v>
      </c>
      <c r="Y36" s="11">
        <v>14552.7</v>
      </c>
      <c r="Z36" s="51">
        <f t="shared" si="18"/>
        <v>259209.7</v>
      </c>
      <c r="AA36" s="11">
        <v>238306</v>
      </c>
      <c r="AB36" s="11">
        <v>3366</v>
      </c>
      <c r="AC36" s="11">
        <v>25446.59</v>
      </c>
      <c r="AD36" s="51">
        <f t="shared" si="19"/>
        <v>267118.59000000003</v>
      </c>
      <c r="AE36" s="2">
        <v>21</v>
      </c>
      <c r="AF36">
        <v>19</v>
      </c>
      <c r="AG36">
        <v>19</v>
      </c>
      <c r="AH36" s="2">
        <f t="shared" si="20"/>
        <v>20.333333333333332</v>
      </c>
      <c r="AI36" s="2">
        <f t="shared" si="21"/>
        <v>19</v>
      </c>
      <c r="AJ36" s="2">
        <v>6</v>
      </c>
      <c r="AK36" s="2">
        <v>6</v>
      </c>
      <c r="AL36" s="2">
        <v>6</v>
      </c>
      <c r="AM36" s="2">
        <f t="shared" si="22"/>
        <v>6</v>
      </c>
      <c r="AN36" s="2">
        <f t="shared" si="23"/>
        <v>6</v>
      </c>
      <c r="AO36" s="2">
        <v>6.1000000000000014</v>
      </c>
      <c r="AP36" s="2">
        <v>5.59</v>
      </c>
      <c r="AQ36" s="2">
        <v>144262.85999999999</v>
      </c>
      <c r="AR36" s="2">
        <v>140250.67000000001</v>
      </c>
      <c r="AS36" s="2">
        <f t="shared" si="24"/>
        <v>1970.8040983606552</v>
      </c>
      <c r="AT36" s="2">
        <f t="shared" si="25"/>
        <v>2090.797107930829</v>
      </c>
      <c r="AU36" s="2">
        <f>Alusharidus!AH36*2/3+Alusharidus!AL36*1/3</f>
        <v>6.666666666666667</v>
      </c>
      <c r="AV36" s="2">
        <f>Alusharidus!AL36*2/3+Alusharidus!AP36*1/3</f>
        <v>5.333333333333333</v>
      </c>
      <c r="AW36" s="18">
        <f t="shared" si="2"/>
        <v>0.24691358024691359</v>
      </c>
      <c r="AX36" s="18">
        <f t="shared" si="3"/>
        <v>0.21917808219178081</v>
      </c>
      <c r="AY36" s="40">
        <f>J36*AW36</f>
        <v>6856.8832888888892</v>
      </c>
      <c r="AZ36" s="40">
        <f>T36*AX36</f>
        <v>8242.2148997260265</v>
      </c>
      <c r="BA36" s="25" t="s">
        <v>195</v>
      </c>
      <c r="BE36" t="s">
        <v>200</v>
      </c>
      <c r="BF36" s="2">
        <f t="shared" ref="BF36:BF67" si="38">(L36-AY36)/AH36/12</f>
        <v>1477.4646176684882</v>
      </c>
      <c r="BG36" s="2">
        <f t="shared" ref="BG36:BG67" si="39">I36/AH36/12</f>
        <v>1043.1655737704918</v>
      </c>
      <c r="BH36" s="2">
        <f t="shared" ref="BH36:BH67" si="40">(H36+K36)/AH36/12</f>
        <v>200.26946721311478</v>
      </c>
      <c r="BI36" s="2">
        <f t="shared" si="26"/>
        <v>234.02957668488162</v>
      </c>
      <c r="BJ36" s="2">
        <f t="shared" ref="BJ36:BJ67" si="41">(V36-AZ36)/AI36/12</f>
        <v>1678.1053732468151</v>
      </c>
      <c r="BK36" s="2">
        <f t="shared" ref="BK36:BK67" si="42">S36/AI36/12</f>
        <v>1161.4330263157892</v>
      </c>
      <c r="BL36" s="2">
        <f t="shared" ref="BL36:BL67" si="43">(R36+U36)/AI36/12</f>
        <v>217.41605263157896</v>
      </c>
      <c r="BM36" s="2">
        <f t="shared" si="27"/>
        <v>299.25629429944695</v>
      </c>
      <c r="BN36" s="2">
        <f t="shared" ref="BN36:BN67" si="44">(L36-AY36-Z36)/AH36/12</f>
        <v>415.12978160291431</v>
      </c>
      <c r="BO36" s="2">
        <f t="shared" ref="BO36:BO67" si="45">(W36+Y36)/AH36/12</f>
        <v>1041.5807377049182</v>
      </c>
      <c r="BP36" s="2">
        <f t="shared" si="28"/>
        <v>20.754098360655689</v>
      </c>
      <c r="BQ36" s="2">
        <f t="shared" ref="BQ36:BQ67" si="46">(V36-AZ36-AD36)/AI36/12</f>
        <v>506.53261008892019</v>
      </c>
      <c r="BR36" s="2">
        <f t="shared" ref="BR36:BR67" si="47">(AA36+AC36)/AI36/12</f>
        <v>1156.8096052631579</v>
      </c>
      <c r="BS36" s="2">
        <f t="shared" si="29"/>
        <v>14.763157894737105</v>
      </c>
      <c r="BT36" s="18">
        <f t="shared" si="30"/>
        <v>0.70605113739823999</v>
      </c>
      <c r="BU36" s="18">
        <f t="shared" si="31"/>
        <v>0.69210971184046499</v>
      </c>
      <c r="BV36" s="18">
        <f t="shared" ref="BV36:BV67" si="48">(W36+Y36)/(L36-AY36)</f>
        <v>0.70497846462718261</v>
      </c>
      <c r="BW36" s="18">
        <f t="shared" ref="BW36:BW67" si="49">(AA36+AC36)/(V36-AZ36)</f>
        <v>0.68935456837549547</v>
      </c>
      <c r="BX36" s="34">
        <f t="shared" ref="BX36:BX67" si="50">AH36/AM36</f>
        <v>3.3888888888888888</v>
      </c>
      <c r="BY36" s="34">
        <f t="shared" ref="BY36:BY67" si="51">AI36/AN36</f>
        <v>3.1666666666666665</v>
      </c>
      <c r="BZ36" s="34">
        <f t="shared" si="32"/>
        <v>3.3333333333333321</v>
      </c>
      <c r="CA36" s="34">
        <f t="shared" si="33"/>
        <v>3.3989266547406083</v>
      </c>
      <c r="CB36" s="29">
        <v>2.1</v>
      </c>
      <c r="CC36" s="2">
        <v>3164.3</v>
      </c>
      <c r="CD36" s="2">
        <v>2988.9</v>
      </c>
      <c r="CE36">
        <v>445</v>
      </c>
      <c r="CF36" t="s">
        <v>232</v>
      </c>
      <c r="CG36" t="s">
        <v>288</v>
      </c>
    </row>
    <row r="37" spans="1:85" ht="14.25" customHeight="1" x14ac:dyDescent="0.35">
      <c r="A37" t="s">
        <v>137</v>
      </c>
      <c r="B37" s="10" t="s">
        <v>42</v>
      </c>
      <c r="C37" s="11">
        <v>121198.77</v>
      </c>
      <c r="D37" s="11">
        <v>10.73</v>
      </c>
      <c r="E37" s="11">
        <v>88661.599999999991</v>
      </c>
      <c r="F37" s="11">
        <v>767701.67000000027</v>
      </c>
      <c r="G37" s="11">
        <v>65426.27</v>
      </c>
      <c r="H37" s="11"/>
      <c r="I37" s="11">
        <v>4137353.03</v>
      </c>
      <c r="J37" s="11">
        <v>397295.92584000004</v>
      </c>
      <c r="K37" s="11">
        <v>265882.81000000011</v>
      </c>
      <c r="L37" s="12">
        <f t="shared" si="36"/>
        <v>5226720.7400000012</v>
      </c>
      <c r="M37" s="11">
        <v>115814.35</v>
      </c>
      <c r="N37" s="11">
        <v>-3.11</v>
      </c>
      <c r="O37" s="11">
        <v>79190.799999999988</v>
      </c>
      <c r="P37" s="11">
        <v>737188.09000000008</v>
      </c>
      <c r="Q37" s="11">
        <v>73303.320000000007</v>
      </c>
      <c r="R37" s="11"/>
      <c r="S37" s="11">
        <v>4332831.6499999994</v>
      </c>
      <c r="T37" s="11">
        <v>406318.72884000017</v>
      </c>
      <c r="U37" s="11">
        <v>272135.32</v>
      </c>
      <c r="V37" s="12">
        <f t="shared" si="37"/>
        <v>5384662.9799999995</v>
      </c>
      <c r="W37" s="11">
        <v>3390950</v>
      </c>
      <c r="X37" s="11">
        <v>160446</v>
      </c>
      <c r="Y37" s="11">
        <v>176956.49</v>
      </c>
      <c r="Z37" s="51">
        <f t="shared" si="18"/>
        <v>3728352.49</v>
      </c>
      <c r="AA37" s="11">
        <v>3628630</v>
      </c>
      <c r="AB37" s="11">
        <v>184101</v>
      </c>
      <c r="AC37" s="11">
        <v>279704.90000000008</v>
      </c>
      <c r="AD37" s="51">
        <f t="shared" si="19"/>
        <v>4092435.9</v>
      </c>
      <c r="AE37" s="2">
        <v>777</v>
      </c>
      <c r="AF37">
        <v>809</v>
      </c>
      <c r="AG37">
        <v>813</v>
      </c>
      <c r="AH37" s="2">
        <f t="shared" si="20"/>
        <v>787.66666666666674</v>
      </c>
      <c r="AI37" s="2">
        <f t="shared" si="21"/>
        <v>810.33333333333337</v>
      </c>
      <c r="AJ37" s="2">
        <v>67</v>
      </c>
      <c r="AK37" s="2">
        <v>78</v>
      </c>
      <c r="AL37" s="2">
        <v>77</v>
      </c>
      <c r="AM37" s="2">
        <f t="shared" si="22"/>
        <v>70.666666666666657</v>
      </c>
      <c r="AN37" s="2">
        <f t="shared" si="23"/>
        <v>77.666666666666671</v>
      </c>
      <c r="AO37" s="2">
        <v>94.69</v>
      </c>
      <c r="AP37" s="2">
        <v>97.72</v>
      </c>
      <c r="AQ37" s="2">
        <v>2231181.4</v>
      </c>
      <c r="AR37" s="2">
        <v>2338269.3199999998</v>
      </c>
      <c r="AS37" s="2">
        <f t="shared" si="24"/>
        <v>1963.5841517935721</v>
      </c>
      <c r="AT37" s="2">
        <f t="shared" si="25"/>
        <v>1994.0214558602811</v>
      </c>
      <c r="AU37" s="2">
        <f>Alusharidus!AH37*2/3+Alusharidus!AL37*1/3</f>
        <v>12</v>
      </c>
      <c r="AV37" s="2">
        <f>Alusharidus!AL37*2/3+Alusharidus!AP37*1/3</f>
        <v>0</v>
      </c>
      <c r="AW37" s="18">
        <f t="shared" si="2"/>
        <v>1.5006252605252186E-2</v>
      </c>
      <c r="AX37" s="18">
        <f t="shared" si="3"/>
        <v>0</v>
      </c>
      <c r="AY37" s="2">
        <f>L37*AW37</f>
        <v>78433.491721550658</v>
      </c>
      <c r="AZ37" s="40"/>
      <c r="BF37" s="2">
        <f t="shared" si="38"/>
        <v>544.67702584410176</v>
      </c>
      <c r="BG37" s="2">
        <f t="shared" si="39"/>
        <v>437.72249576809139</v>
      </c>
      <c r="BH37" s="2">
        <f t="shared" si="40"/>
        <v>28.129793694456211</v>
      </c>
      <c r="BI37" s="2">
        <f t="shared" si="26"/>
        <v>78.82473638155416</v>
      </c>
      <c r="BJ37" s="2">
        <f t="shared" si="41"/>
        <v>553.74979226655694</v>
      </c>
      <c r="BK37" s="2">
        <f t="shared" si="42"/>
        <v>445.5812062937062</v>
      </c>
      <c r="BL37" s="2">
        <f t="shared" si="43"/>
        <v>27.985944055944056</v>
      </c>
      <c r="BM37" s="2">
        <f t="shared" si="27"/>
        <v>80.182641916906675</v>
      </c>
      <c r="BN37" s="2">
        <f t="shared" si="44"/>
        <v>150.22585254744499</v>
      </c>
      <c r="BO37" s="2">
        <f t="shared" si="45"/>
        <v>377.47635315277188</v>
      </c>
      <c r="BP37" s="2">
        <f t="shared" si="28"/>
        <v>16.97482014388487</v>
      </c>
      <c r="BQ37" s="2">
        <f t="shared" si="46"/>
        <v>132.89048539695594</v>
      </c>
      <c r="BR37" s="2">
        <f t="shared" si="47"/>
        <v>401.92666598107775</v>
      </c>
      <c r="BS37" s="2">
        <f t="shared" si="29"/>
        <v>18.932640888523281</v>
      </c>
      <c r="BT37" s="18">
        <f t="shared" si="30"/>
        <v>0.80363678840637742</v>
      </c>
      <c r="BU37" s="18">
        <f t="shared" si="31"/>
        <v>0.80466162248096706</v>
      </c>
      <c r="BV37" s="18">
        <f t="shared" si="48"/>
        <v>0.69302785915705889</v>
      </c>
      <c r="BW37" s="18">
        <f t="shared" si="49"/>
        <v>0.72582720859532801</v>
      </c>
      <c r="BX37" s="34">
        <f t="shared" si="50"/>
        <v>11.146226415094342</v>
      </c>
      <c r="BY37" s="34">
        <f t="shared" si="51"/>
        <v>10.433476394849786</v>
      </c>
      <c r="BZ37" s="34">
        <f t="shared" si="32"/>
        <v>8.3183722321962907</v>
      </c>
      <c r="CA37" s="34">
        <f t="shared" si="33"/>
        <v>8.2924000545777048</v>
      </c>
      <c r="CB37" s="29">
        <v>2.0099999999999998</v>
      </c>
      <c r="CC37" s="2">
        <v>4442.2</v>
      </c>
      <c r="CD37" s="2">
        <v>4781.1000000000004</v>
      </c>
      <c r="CE37">
        <v>7189</v>
      </c>
      <c r="CF37" t="s">
        <v>234</v>
      </c>
      <c r="CG37" t="str">
        <f t="shared" ref="CG37:CG46" si="52">IF(CB37&lt;=1.25,"Keskuslik",IF(CB37&lt;=1.75,"Keskus-tagamaaline","Tagamaaline"))</f>
        <v>Tagamaaline</v>
      </c>
    </row>
    <row r="38" spans="1:85" ht="14.25" customHeight="1" x14ac:dyDescent="0.35">
      <c r="A38" t="s">
        <v>160</v>
      </c>
      <c r="B38" s="10" t="s">
        <v>43</v>
      </c>
      <c r="C38" s="11">
        <v>36563.949999999997</v>
      </c>
      <c r="D38" s="13"/>
      <c r="E38" s="13"/>
      <c r="F38" s="11">
        <v>291589.82000000012</v>
      </c>
      <c r="G38" s="11">
        <v>75836.98000000001</v>
      </c>
      <c r="H38" s="11"/>
      <c r="I38" s="11">
        <v>1630342.56</v>
      </c>
      <c r="J38" s="11">
        <v>124393.94028000002</v>
      </c>
      <c r="K38" s="11">
        <v>248048.7</v>
      </c>
      <c r="L38" s="12">
        <f t="shared" si="36"/>
        <v>2130708.0500000003</v>
      </c>
      <c r="M38" s="11">
        <v>61118.7</v>
      </c>
      <c r="N38" s="13"/>
      <c r="O38" s="13"/>
      <c r="P38" s="11">
        <v>407609.23</v>
      </c>
      <c r="Q38" s="11">
        <v>87135.12000000001</v>
      </c>
      <c r="R38" s="11"/>
      <c r="S38" s="11">
        <v>1765705.88</v>
      </c>
      <c r="T38" s="11">
        <v>153235.98869999999</v>
      </c>
      <c r="U38" s="11">
        <v>368463.47</v>
      </c>
      <c r="V38" s="12">
        <f t="shared" si="37"/>
        <v>2515762.16</v>
      </c>
      <c r="W38" s="11">
        <v>1209092</v>
      </c>
      <c r="X38" s="11">
        <v>26928</v>
      </c>
      <c r="Y38" s="11">
        <v>9912.3499999999985</v>
      </c>
      <c r="Z38" s="51">
        <f t="shared" si="18"/>
        <v>1245932.3500000001</v>
      </c>
      <c r="AA38" s="11">
        <v>1248109</v>
      </c>
      <c r="AB38" s="11">
        <v>26596</v>
      </c>
      <c r="AC38" s="11">
        <v>53871.58</v>
      </c>
      <c r="AD38" s="51">
        <f t="shared" si="19"/>
        <v>1328576.58</v>
      </c>
      <c r="AE38" s="2">
        <v>313</v>
      </c>
      <c r="AF38">
        <v>315</v>
      </c>
      <c r="AG38">
        <v>323</v>
      </c>
      <c r="AH38" s="2">
        <f t="shared" si="20"/>
        <v>313.66666666666663</v>
      </c>
      <c r="AI38" s="2">
        <f t="shared" si="21"/>
        <v>317.66666666666669</v>
      </c>
      <c r="AJ38" s="2">
        <v>27</v>
      </c>
      <c r="AK38" s="2">
        <v>27</v>
      </c>
      <c r="AL38" s="2">
        <v>29</v>
      </c>
      <c r="AM38" s="2">
        <f t="shared" si="22"/>
        <v>27</v>
      </c>
      <c r="AN38" s="2">
        <f t="shared" si="23"/>
        <v>27.666666666666664</v>
      </c>
      <c r="AO38" s="2">
        <v>36.130000000000003</v>
      </c>
      <c r="AP38" s="2">
        <v>36.61</v>
      </c>
      <c r="AQ38" s="2">
        <v>869521.33</v>
      </c>
      <c r="AR38" s="2">
        <v>899179.25</v>
      </c>
      <c r="AS38" s="2">
        <f t="shared" si="24"/>
        <v>2005.5386336377894</v>
      </c>
      <c r="AT38" s="2">
        <f t="shared" si="25"/>
        <v>2046.7523672949103</v>
      </c>
      <c r="AU38" s="2">
        <f>Alusharidus!AH38*2/3+Alusharidus!AL38*1/3</f>
        <v>66.666666666666671</v>
      </c>
      <c r="AV38" s="2">
        <f>Alusharidus!AL38*2/3+Alusharidus!AP38*1/3</f>
        <v>69.333333333333329</v>
      </c>
      <c r="AW38" s="18">
        <f t="shared" si="2"/>
        <v>0.17528483786152499</v>
      </c>
      <c r="AX38" s="18">
        <f t="shared" si="3"/>
        <v>0.17915590008613264</v>
      </c>
      <c r="AY38" s="40"/>
      <c r="AZ38" s="40"/>
      <c r="BA38" s="25" t="s">
        <v>195</v>
      </c>
      <c r="BF38" s="2">
        <f t="shared" si="38"/>
        <v>566.07546493092468</v>
      </c>
      <c r="BG38" s="2">
        <f t="shared" si="39"/>
        <v>433.14095642933057</v>
      </c>
      <c r="BH38" s="2">
        <f t="shared" si="40"/>
        <v>65.900292242295436</v>
      </c>
      <c r="BI38" s="2">
        <f t="shared" si="26"/>
        <v>67.034216259298674</v>
      </c>
      <c r="BJ38" s="2">
        <f t="shared" si="41"/>
        <v>659.95859391395595</v>
      </c>
      <c r="BK38" s="2">
        <f t="shared" si="42"/>
        <v>463.19671563483729</v>
      </c>
      <c r="BL38" s="2">
        <f t="shared" si="43"/>
        <v>96.658832633788037</v>
      </c>
      <c r="BM38" s="2">
        <f t="shared" si="27"/>
        <v>100.10304564533062</v>
      </c>
      <c r="BN38" s="2">
        <f t="shared" si="44"/>
        <v>235.06261955366639</v>
      </c>
      <c r="BO38" s="2">
        <f t="shared" si="45"/>
        <v>323.85875398512229</v>
      </c>
      <c r="BP38" s="2">
        <f t="shared" si="28"/>
        <v>7.1540913921359675</v>
      </c>
      <c r="BQ38" s="2">
        <f t="shared" si="46"/>
        <v>311.43378279118571</v>
      </c>
      <c r="BR38" s="2">
        <f t="shared" si="47"/>
        <v>341.54789611752358</v>
      </c>
      <c r="BS38" s="2">
        <f t="shared" si="29"/>
        <v>6.9769150052466671</v>
      </c>
      <c r="BT38" s="18">
        <f t="shared" si="30"/>
        <v>0.76516468786045089</v>
      </c>
      <c r="BU38" s="18">
        <f t="shared" si="31"/>
        <v>0.70185723756970719</v>
      </c>
      <c r="BV38" s="18">
        <f t="shared" si="48"/>
        <v>0.5721123313914358</v>
      </c>
      <c r="BW38" s="18">
        <f t="shared" si="49"/>
        <v>0.51752928027186795</v>
      </c>
      <c r="BX38" s="34">
        <f t="shared" si="50"/>
        <v>11.617283950617283</v>
      </c>
      <c r="BY38" s="34">
        <f t="shared" si="51"/>
        <v>11.481927710843376</v>
      </c>
      <c r="BZ38" s="34">
        <f t="shared" si="32"/>
        <v>8.6816126948980514</v>
      </c>
      <c r="CA38" s="34">
        <f t="shared" si="33"/>
        <v>8.6770463443503605</v>
      </c>
      <c r="CB38" s="29">
        <v>1.97</v>
      </c>
      <c r="CC38" s="2">
        <v>5988.2</v>
      </c>
      <c r="CD38" s="2">
        <v>6125</v>
      </c>
      <c r="CE38">
        <v>4269</v>
      </c>
      <c r="CF38" t="s">
        <v>233</v>
      </c>
      <c r="CG38" t="str">
        <f t="shared" si="52"/>
        <v>Tagamaaline</v>
      </c>
    </row>
    <row r="39" spans="1:85" ht="14.25" customHeight="1" x14ac:dyDescent="0.35">
      <c r="A39" t="s">
        <v>152</v>
      </c>
      <c r="B39" s="10" t="s">
        <v>44</v>
      </c>
      <c r="C39" s="11">
        <v>102528.47</v>
      </c>
      <c r="D39" s="11">
        <v>17</v>
      </c>
      <c r="E39" s="13"/>
      <c r="F39" s="11">
        <v>627196.37000000011</v>
      </c>
      <c r="G39" s="11">
        <v>73553.510000000009</v>
      </c>
      <c r="H39" s="11"/>
      <c r="I39" s="11">
        <v>2450151.67</v>
      </c>
      <c r="J39" s="11">
        <v>119552.97600000001</v>
      </c>
      <c r="K39" s="11">
        <v>215224.81</v>
      </c>
      <c r="L39" s="12">
        <f t="shared" si="36"/>
        <v>3321564.8099999996</v>
      </c>
      <c r="M39" s="11">
        <v>110244.08</v>
      </c>
      <c r="N39" s="13"/>
      <c r="O39" s="13"/>
      <c r="P39" s="11">
        <v>647907.67999999993</v>
      </c>
      <c r="Q39" s="11">
        <v>44854.6</v>
      </c>
      <c r="R39" s="11"/>
      <c r="S39" s="11">
        <v>2486726.7000000011</v>
      </c>
      <c r="T39" s="11">
        <v>114858.56286000001</v>
      </c>
      <c r="U39" s="11">
        <v>216674.99</v>
      </c>
      <c r="V39" s="12">
        <f t="shared" si="37"/>
        <v>3416698.850000001</v>
      </c>
      <c r="W39" s="11">
        <v>2134386</v>
      </c>
      <c r="X39" s="11">
        <v>115362</v>
      </c>
      <c r="Y39" s="11">
        <v>111662.48000000001</v>
      </c>
      <c r="Z39" s="51">
        <f t="shared" si="18"/>
        <v>2361410.48</v>
      </c>
      <c r="AA39" s="11">
        <v>2173145</v>
      </c>
      <c r="AB39" s="11">
        <v>111894</v>
      </c>
      <c r="AC39" s="11">
        <v>159870.25</v>
      </c>
      <c r="AD39" s="51">
        <f t="shared" si="19"/>
        <v>2444909.25</v>
      </c>
      <c r="AE39" s="2">
        <v>639</v>
      </c>
      <c r="AF39">
        <v>634</v>
      </c>
      <c r="AG39">
        <v>635</v>
      </c>
      <c r="AH39" s="2">
        <f t="shared" si="20"/>
        <v>637.33333333333337</v>
      </c>
      <c r="AI39" s="2">
        <f t="shared" si="21"/>
        <v>634.33333333333337</v>
      </c>
      <c r="AJ39" s="2">
        <v>36</v>
      </c>
      <c r="AK39" s="2">
        <v>39</v>
      </c>
      <c r="AL39" s="2">
        <v>38</v>
      </c>
      <c r="AM39" s="2">
        <f t="shared" si="22"/>
        <v>37</v>
      </c>
      <c r="AN39" s="2">
        <f t="shared" si="23"/>
        <v>38.666666666666664</v>
      </c>
      <c r="AO39" s="2">
        <v>57.2</v>
      </c>
      <c r="AP39" s="2">
        <v>53.67</v>
      </c>
      <c r="AQ39" s="2">
        <v>1390862.92</v>
      </c>
      <c r="AR39" s="2">
        <v>1428194.42</v>
      </c>
      <c r="AS39" s="2">
        <f t="shared" si="24"/>
        <v>2026.3154428904427</v>
      </c>
      <c r="AT39" s="2">
        <f t="shared" si="25"/>
        <v>2217.55546239364</v>
      </c>
      <c r="AU39" s="2">
        <f>Alusharidus!AH39*2/3+Alusharidus!AL39*1/3</f>
        <v>23</v>
      </c>
      <c r="AV39" s="2">
        <f>Alusharidus!AL39*2/3+Alusharidus!AP39*1/3</f>
        <v>24.333333333333336</v>
      </c>
      <c r="AW39" s="36">
        <f>-14/Alusharidus!AS39</f>
        <v>-5.6833558863328824E-2</v>
      </c>
      <c r="AX39" s="36">
        <f>-14/Alusharidus!AT39</f>
        <v>-5.6833558863328817E-2</v>
      </c>
      <c r="AY39" s="40">
        <f>AW39*(Alusharidus!E39-Alusharidus!F39+Alusharidus!C39+Alusharidus!D39+Alusharidus!I39)</f>
        <v>-22475.578213802437</v>
      </c>
      <c r="AZ39" s="40">
        <f>AX39*(Alusharidus!L39+Alusharidus!M39+Alusharidus!N39-Alusharidus!O39+Alusharidus!R39)</f>
        <v>-24067.121326116368</v>
      </c>
      <c r="BB39" s="41" t="s">
        <v>195</v>
      </c>
      <c r="BE39" t="s">
        <v>220</v>
      </c>
      <c r="BF39" s="2">
        <f t="shared" si="38"/>
        <v>437.2437746095452</v>
      </c>
      <c r="BG39" s="2">
        <f t="shared" si="39"/>
        <v>320.36501961297068</v>
      </c>
      <c r="BH39" s="2">
        <f t="shared" si="40"/>
        <v>28.141319299163175</v>
      </c>
      <c r="BI39" s="2">
        <f t="shared" si="26"/>
        <v>88.737435697411343</v>
      </c>
      <c r="BJ39" s="2">
        <f t="shared" si="41"/>
        <v>452.01865098871741</v>
      </c>
      <c r="BK39" s="2">
        <f t="shared" si="42"/>
        <v>326.68506305832909</v>
      </c>
      <c r="BL39" s="2">
        <f t="shared" si="43"/>
        <v>28.464922490803989</v>
      </c>
      <c r="BM39" s="2">
        <f t="shared" si="27"/>
        <v>96.868665439584333</v>
      </c>
      <c r="BN39" s="2">
        <f t="shared" si="44"/>
        <v>128.4819440656122</v>
      </c>
      <c r="BO39" s="2">
        <f t="shared" si="45"/>
        <v>293.67788702928868</v>
      </c>
      <c r="BP39" s="2">
        <f t="shared" si="28"/>
        <v>15.083943514644318</v>
      </c>
      <c r="BQ39" s="2">
        <f t="shared" si="46"/>
        <v>130.82720984315782</v>
      </c>
      <c r="BR39" s="2">
        <f t="shared" si="47"/>
        <v>306.4917564372044</v>
      </c>
      <c r="BS39" s="2">
        <f t="shared" si="29"/>
        <v>14.699684708355164</v>
      </c>
      <c r="BT39" s="18">
        <f t="shared" si="30"/>
        <v>0.73269200893495579</v>
      </c>
      <c r="BU39" s="18">
        <f t="shared" si="31"/>
        <v>0.72272474231706718</v>
      </c>
      <c r="BV39" s="18">
        <f t="shared" si="48"/>
        <v>0.67165710316068061</v>
      </c>
      <c r="BW39" s="18">
        <f t="shared" si="49"/>
        <v>0.67805112856914951</v>
      </c>
      <c r="BX39" s="34">
        <f t="shared" si="50"/>
        <v>17.225225225225227</v>
      </c>
      <c r="BY39" s="34">
        <f t="shared" si="51"/>
        <v>16.405172413793107</v>
      </c>
      <c r="BZ39" s="34">
        <f t="shared" si="32"/>
        <v>11.142191142191143</v>
      </c>
      <c r="CA39" s="34">
        <f t="shared" si="33"/>
        <v>11.819141668219366</v>
      </c>
      <c r="CB39" s="29">
        <v>1.49</v>
      </c>
      <c r="CC39" s="2">
        <v>3993.2</v>
      </c>
      <c r="CD39" s="2">
        <v>5255.1</v>
      </c>
      <c r="CE39">
        <v>4762</v>
      </c>
      <c r="CF39" t="s">
        <v>234</v>
      </c>
      <c r="CG39" t="str">
        <f t="shared" si="52"/>
        <v>Keskus-tagamaaline</v>
      </c>
    </row>
    <row r="40" spans="1:85" ht="14.25" customHeight="1" x14ac:dyDescent="0.35">
      <c r="A40" t="s">
        <v>116</v>
      </c>
      <c r="B40" s="10" t="s">
        <v>45</v>
      </c>
      <c r="C40" s="11">
        <v>169375.56</v>
      </c>
      <c r="D40" s="11">
        <v>-750.12</v>
      </c>
      <c r="E40" s="13"/>
      <c r="F40" s="11">
        <v>1143980.8700000001</v>
      </c>
      <c r="G40" s="11">
        <v>221493.81</v>
      </c>
      <c r="H40" s="11"/>
      <c r="I40" s="11">
        <v>6734382.2800000003</v>
      </c>
      <c r="J40" s="11">
        <v>234904.52496000004</v>
      </c>
      <c r="K40" s="11">
        <v>322171.69</v>
      </c>
      <c r="L40" s="12">
        <f t="shared" si="36"/>
        <v>8147666.4700000007</v>
      </c>
      <c r="M40" s="11">
        <v>218686.72</v>
      </c>
      <c r="N40" s="13"/>
      <c r="O40" s="13"/>
      <c r="P40" s="11">
        <v>1348434.29</v>
      </c>
      <c r="Q40" s="11">
        <v>239025.19</v>
      </c>
      <c r="R40" s="11">
        <v>75</v>
      </c>
      <c r="S40" s="11">
        <v>6963924.9700000007</v>
      </c>
      <c r="T40" s="11">
        <v>235873.62497999999</v>
      </c>
      <c r="U40" s="11">
        <v>328908.18</v>
      </c>
      <c r="V40" s="12">
        <f t="shared" si="37"/>
        <v>8620928.9700000007</v>
      </c>
      <c r="W40" s="11">
        <v>5071834</v>
      </c>
      <c r="X40" s="11">
        <v>291924</v>
      </c>
      <c r="Y40" s="11">
        <v>91146.529999999912</v>
      </c>
      <c r="Z40" s="51">
        <f t="shared" si="18"/>
        <v>5454904.5300000003</v>
      </c>
      <c r="AA40" s="11">
        <v>5341956</v>
      </c>
      <c r="AB40" s="11">
        <v>288632</v>
      </c>
      <c r="AC40" s="11">
        <v>294137.88</v>
      </c>
      <c r="AD40" s="51">
        <f t="shared" si="19"/>
        <v>5924725.8799999999</v>
      </c>
      <c r="AE40" s="2">
        <v>1594</v>
      </c>
      <c r="AF40">
        <v>1576</v>
      </c>
      <c r="AG40">
        <v>1542</v>
      </c>
      <c r="AH40" s="2">
        <f t="shared" si="20"/>
        <v>1588</v>
      </c>
      <c r="AI40" s="2">
        <f t="shared" si="21"/>
        <v>1564.6666666666667</v>
      </c>
      <c r="AJ40" s="2">
        <v>94</v>
      </c>
      <c r="AK40" s="2">
        <v>97</v>
      </c>
      <c r="AL40" s="2">
        <v>98</v>
      </c>
      <c r="AM40" s="2">
        <f t="shared" si="22"/>
        <v>95</v>
      </c>
      <c r="AN40" s="2">
        <f t="shared" si="23"/>
        <v>97.333333333333343</v>
      </c>
      <c r="AO40" s="2">
        <v>131.81</v>
      </c>
      <c r="AP40" s="2">
        <v>131.76</v>
      </c>
      <c r="AQ40" s="2">
        <v>3401946.76</v>
      </c>
      <c r="AR40" s="2">
        <v>3444884.63</v>
      </c>
      <c r="AS40" s="2">
        <f t="shared" si="24"/>
        <v>2150.789494980148</v>
      </c>
      <c r="AT40" s="2">
        <f t="shared" si="25"/>
        <v>2178.7622887573366</v>
      </c>
      <c r="AU40" s="2">
        <f>Alusharidus!AH40*2/3+Alusharidus!AL40*1/3</f>
        <v>0</v>
      </c>
      <c r="AV40" s="2">
        <f>Alusharidus!AL40*2/3+Alusharidus!AP40*1/3</f>
        <v>0</v>
      </c>
      <c r="AW40" s="18">
        <f t="shared" ref="AW40:AW49" si="53">AU40/(AH40+AU40)</f>
        <v>0</v>
      </c>
      <c r="AX40" s="18">
        <f t="shared" ref="AX40:AX49" si="54">AV40/(AI40+AV40)</f>
        <v>0</v>
      </c>
      <c r="AY40" s="40"/>
      <c r="AZ40" s="40"/>
      <c r="BF40" s="2">
        <f t="shared" si="38"/>
        <v>427.56436135600342</v>
      </c>
      <c r="BG40" s="2">
        <f t="shared" si="39"/>
        <v>353.39957388748957</v>
      </c>
      <c r="BH40" s="2">
        <f t="shared" si="40"/>
        <v>16.90657483207389</v>
      </c>
      <c r="BI40" s="2">
        <f t="shared" si="26"/>
        <v>57.258212636439964</v>
      </c>
      <c r="BJ40" s="2">
        <f t="shared" si="41"/>
        <v>459.14619567533026</v>
      </c>
      <c r="BK40" s="2">
        <f t="shared" si="42"/>
        <v>370.89502396676608</v>
      </c>
      <c r="BL40" s="2">
        <f t="shared" si="43"/>
        <v>17.521473157221983</v>
      </c>
      <c r="BM40" s="2">
        <f t="shared" si="27"/>
        <v>70.72969855134221</v>
      </c>
      <c r="BN40" s="2">
        <f t="shared" si="44"/>
        <v>141.30782640638122</v>
      </c>
      <c r="BO40" s="2">
        <f t="shared" si="45"/>
        <v>270.93726542821162</v>
      </c>
      <c r="BP40" s="2">
        <f t="shared" si="28"/>
        <v>15.319269521410547</v>
      </c>
      <c r="BQ40" s="2">
        <f t="shared" si="46"/>
        <v>143.5983750532595</v>
      </c>
      <c r="BR40" s="2">
        <f t="shared" si="47"/>
        <v>300.1754303365999</v>
      </c>
      <c r="BS40" s="2">
        <f t="shared" si="29"/>
        <v>15.372390285470829</v>
      </c>
      <c r="BT40" s="18">
        <f t="shared" si="30"/>
        <v>0.82654123174975769</v>
      </c>
      <c r="BU40" s="18">
        <f t="shared" si="31"/>
        <v>0.80779287176982728</v>
      </c>
      <c r="BV40" s="18">
        <f t="shared" si="48"/>
        <v>0.63367597937523334</v>
      </c>
      <c r="BW40" s="18">
        <f t="shared" si="49"/>
        <v>0.65376874111978667</v>
      </c>
      <c r="BX40" s="34">
        <f t="shared" si="50"/>
        <v>16.715789473684211</v>
      </c>
      <c r="BY40" s="34">
        <f t="shared" si="51"/>
        <v>16.075342465753423</v>
      </c>
      <c r="BZ40" s="34">
        <f t="shared" si="32"/>
        <v>12.047644336545027</v>
      </c>
      <c r="CA40" s="34">
        <f t="shared" si="33"/>
        <v>11.875126492612832</v>
      </c>
      <c r="CB40" s="29">
        <v>1</v>
      </c>
      <c r="CC40" s="2">
        <v>955.8</v>
      </c>
      <c r="CD40" s="2">
        <v>943.7</v>
      </c>
      <c r="CE40">
        <v>14939</v>
      </c>
      <c r="CF40" t="s">
        <v>234</v>
      </c>
      <c r="CG40" t="str">
        <f t="shared" si="52"/>
        <v>Keskuslik</v>
      </c>
    </row>
    <row r="41" spans="1:85" ht="14.25" customHeight="1" x14ac:dyDescent="0.35">
      <c r="A41" t="s">
        <v>115</v>
      </c>
      <c r="B41" s="10" t="s">
        <v>46</v>
      </c>
      <c r="C41" s="11">
        <v>98489.85</v>
      </c>
      <c r="D41" s="13"/>
      <c r="E41" s="13"/>
      <c r="F41" s="11">
        <v>825740.77000000025</v>
      </c>
      <c r="G41" s="11">
        <v>254442.47</v>
      </c>
      <c r="H41" s="11">
        <v>36351</v>
      </c>
      <c r="I41" s="11">
        <v>2976022</v>
      </c>
      <c r="J41" s="11">
        <v>208496.49924000003</v>
      </c>
      <c r="K41" s="11">
        <v>209639.31</v>
      </c>
      <c r="L41" s="12">
        <f t="shared" si="36"/>
        <v>3855449.46</v>
      </c>
      <c r="M41" s="11">
        <v>91067.35</v>
      </c>
      <c r="N41" s="13"/>
      <c r="O41" s="13"/>
      <c r="P41" s="11">
        <v>773501.03999999992</v>
      </c>
      <c r="Q41" s="11">
        <v>252351.97</v>
      </c>
      <c r="R41" s="11">
        <v>37728.11</v>
      </c>
      <c r="S41" s="11">
        <v>2902251.21</v>
      </c>
      <c r="T41" s="11">
        <v>191234.09153999999</v>
      </c>
      <c r="U41" s="11">
        <v>201860.65</v>
      </c>
      <c r="V41" s="12">
        <f t="shared" si="37"/>
        <v>3716328.2799999993</v>
      </c>
      <c r="W41" s="11">
        <v>2518614</v>
      </c>
      <c r="X41" s="11">
        <v>376369.71</v>
      </c>
      <c r="Y41" s="11">
        <v>59218.619999999995</v>
      </c>
      <c r="Z41" s="51">
        <f t="shared" si="18"/>
        <v>2954202.33</v>
      </c>
      <c r="AA41" s="11">
        <v>2549080</v>
      </c>
      <c r="AB41" s="11">
        <v>355396.34</v>
      </c>
      <c r="AC41" s="11">
        <v>76839.540000000095</v>
      </c>
      <c r="AD41" s="51">
        <f t="shared" si="19"/>
        <v>2981315.88</v>
      </c>
      <c r="AE41" s="2">
        <v>475</v>
      </c>
      <c r="AF41">
        <v>430</v>
      </c>
      <c r="AG41">
        <v>424</v>
      </c>
      <c r="AH41" s="2">
        <f t="shared" si="20"/>
        <v>460</v>
      </c>
      <c r="AI41" s="2">
        <f t="shared" si="21"/>
        <v>428</v>
      </c>
      <c r="AJ41" s="2">
        <v>50</v>
      </c>
      <c r="AK41" s="2">
        <v>44</v>
      </c>
      <c r="AL41" s="2">
        <v>43</v>
      </c>
      <c r="AM41" s="2">
        <f t="shared" si="22"/>
        <v>48</v>
      </c>
      <c r="AN41" s="2">
        <f t="shared" si="23"/>
        <v>43.666666666666664</v>
      </c>
      <c r="AO41" s="2">
        <v>57.46</v>
      </c>
      <c r="AP41" s="2">
        <v>53.34</v>
      </c>
      <c r="AQ41" s="2">
        <v>1440567.92</v>
      </c>
      <c r="AR41" s="2">
        <v>1357587.44</v>
      </c>
      <c r="AS41" s="2">
        <f t="shared" si="24"/>
        <v>2089.2329736628376</v>
      </c>
      <c r="AT41" s="2">
        <f t="shared" si="25"/>
        <v>2120.9652543432071</v>
      </c>
      <c r="AU41" s="2">
        <f>Alusharidus!AH41*2/3+Alusharidus!AL41*1/3</f>
        <v>35.333333333333336</v>
      </c>
      <c r="AV41" s="2">
        <f>Alusharidus!AL41*2/3+Alusharidus!AP41*1/3</f>
        <v>0</v>
      </c>
      <c r="AW41" s="18">
        <f t="shared" si="53"/>
        <v>7.1332436069986543E-2</v>
      </c>
      <c r="AX41" s="18">
        <f t="shared" si="54"/>
        <v>0</v>
      </c>
      <c r="AY41" s="2">
        <f>L41*AW41</f>
        <v>275018.60212651413</v>
      </c>
      <c r="AZ41" s="40"/>
      <c r="BF41" s="2">
        <f t="shared" si="38"/>
        <v>648.62877860026913</v>
      </c>
      <c r="BG41" s="2">
        <f t="shared" si="39"/>
        <v>539.13442028985503</v>
      </c>
      <c r="BH41" s="2">
        <f t="shared" si="40"/>
        <v>44.563461956521735</v>
      </c>
      <c r="BI41" s="2">
        <f t="shared" si="26"/>
        <v>64.930896353892365</v>
      </c>
      <c r="BJ41" s="2">
        <f t="shared" si="41"/>
        <v>723.58416666666653</v>
      </c>
      <c r="BK41" s="2">
        <f t="shared" si="42"/>
        <v>565.08006425233646</v>
      </c>
      <c r="BL41" s="2">
        <f t="shared" si="43"/>
        <v>46.648901869158884</v>
      </c>
      <c r="BM41" s="2">
        <f t="shared" si="27"/>
        <v>111.85520054517119</v>
      </c>
      <c r="BN41" s="2">
        <f t="shared" si="44"/>
        <v>113.44719707853004</v>
      </c>
      <c r="BO41" s="2">
        <f t="shared" si="45"/>
        <v>466.99866304347825</v>
      </c>
      <c r="BP41" s="2">
        <f t="shared" si="28"/>
        <v>68.182918478260831</v>
      </c>
      <c r="BQ41" s="2">
        <f t="shared" si="46"/>
        <v>143.10989096573198</v>
      </c>
      <c r="BR41" s="2">
        <f t="shared" si="47"/>
        <v>511.27716900311526</v>
      </c>
      <c r="BS41" s="2">
        <f t="shared" si="29"/>
        <v>69.197106697819265</v>
      </c>
      <c r="BT41" s="18">
        <f t="shared" si="30"/>
        <v>0.83119102648096921</v>
      </c>
      <c r="BU41" s="18">
        <f t="shared" si="31"/>
        <v>0.78094586681669587</v>
      </c>
      <c r="BV41" s="18">
        <f t="shared" si="48"/>
        <v>0.71997832728183009</v>
      </c>
      <c r="BW41" s="18">
        <f t="shared" si="49"/>
        <v>0.70658976875961033</v>
      </c>
      <c r="BX41" s="34">
        <f t="shared" si="50"/>
        <v>9.5833333333333339</v>
      </c>
      <c r="BY41" s="34">
        <f t="shared" si="51"/>
        <v>9.8015267175572518</v>
      </c>
      <c r="BZ41" s="34">
        <f t="shared" si="32"/>
        <v>8.0055690915419415</v>
      </c>
      <c r="CA41" s="34">
        <f t="shared" si="33"/>
        <v>8.023997000374953</v>
      </c>
      <c r="CB41" s="29">
        <v>1.58</v>
      </c>
      <c r="CC41" s="2">
        <v>3429</v>
      </c>
      <c r="CD41" s="2">
        <v>4101.2</v>
      </c>
      <c r="CE41">
        <v>5605</v>
      </c>
      <c r="CF41" t="s">
        <v>233</v>
      </c>
      <c r="CG41" t="str">
        <f t="shared" si="52"/>
        <v>Keskus-tagamaaline</v>
      </c>
    </row>
    <row r="42" spans="1:85" ht="14.25" customHeight="1" x14ac:dyDescent="0.35">
      <c r="A42" t="s">
        <v>105</v>
      </c>
      <c r="B42" s="10" t="s">
        <v>47</v>
      </c>
      <c r="C42" s="11">
        <v>132275.68</v>
      </c>
      <c r="D42" s="13"/>
      <c r="E42" s="13"/>
      <c r="F42" s="11">
        <v>954692.58</v>
      </c>
      <c r="G42" s="11">
        <v>210995.1</v>
      </c>
      <c r="H42" s="11"/>
      <c r="I42" s="11">
        <v>5581350.0600000015</v>
      </c>
      <c r="J42" s="11">
        <v>453964.98912000004</v>
      </c>
      <c r="K42" s="11">
        <v>238743</v>
      </c>
      <c r="L42" s="12">
        <f t="shared" si="36"/>
        <v>6696066.2200000016</v>
      </c>
      <c r="M42" s="11">
        <v>150661.25</v>
      </c>
      <c r="N42" s="13"/>
      <c r="O42" s="13"/>
      <c r="P42" s="11">
        <v>1054715.29</v>
      </c>
      <c r="Q42" s="11">
        <v>225628.98</v>
      </c>
      <c r="R42" s="11"/>
      <c r="S42" s="11">
        <v>5848143.9800000004</v>
      </c>
      <c r="T42" s="11">
        <v>357134.71854000003</v>
      </c>
      <c r="U42" s="11">
        <v>262754</v>
      </c>
      <c r="V42" s="12">
        <f t="shared" si="37"/>
        <v>7090645.54</v>
      </c>
      <c r="W42" s="11">
        <v>3982796</v>
      </c>
      <c r="X42" s="11">
        <v>108103.62</v>
      </c>
      <c r="Y42" s="11">
        <v>174455.53000000003</v>
      </c>
      <c r="Z42" s="51">
        <f t="shared" si="18"/>
        <v>4265355.1500000004</v>
      </c>
      <c r="AA42" s="11">
        <v>3993280</v>
      </c>
      <c r="AB42" s="11">
        <v>124154</v>
      </c>
      <c r="AC42" s="11">
        <v>65204.44</v>
      </c>
      <c r="AD42" s="51">
        <f t="shared" si="19"/>
        <v>4182638.44</v>
      </c>
      <c r="AE42" s="2">
        <v>1133</v>
      </c>
      <c r="AF42">
        <v>1084</v>
      </c>
      <c r="AG42">
        <v>1082</v>
      </c>
      <c r="AH42" s="2">
        <f t="shared" si="20"/>
        <v>1116.6666666666667</v>
      </c>
      <c r="AI42" s="2">
        <f t="shared" si="21"/>
        <v>1083.3333333333333</v>
      </c>
      <c r="AJ42" s="2">
        <v>95</v>
      </c>
      <c r="AK42" s="2">
        <v>90</v>
      </c>
      <c r="AL42" s="2">
        <v>83</v>
      </c>
      <c r="AM42" s="2">
        <f t="shared" si="22"/>
        <v>93.333333333333343</v>
      </c>
      <c r="AN42" s="2">
        <f t="shared" si="23"/>
        <v>87.666666666666671</v>
      </c>
      <c r="AO42" s="2">
        <v>111.3</v>
      </c>
      <c r="AP42" s="2">
        <v>112.61</v>
      </c>
      <c r="AQ42" s="2">
        <v>2889967.56</v>
      </c>
      <c r="AR42" s="2">
        <v>3066364.5699999989</v>
      </c>
      <c r="AS42" s="2">
        <f t="shared" si="24"/>
        <v>2163.7972147349506</v>
      </c>
      <c r="AT42" s="2">
        <f t="shared" si="25"/>
        <v>2269.1624263682911</v>
      </c>
      <c r="AU42" s="2">
        <f>Alusharidus!AH42*2/3+Alusharidus!AL42*1/3</f>
        <v>48</v>
      </c>
      <c r="AV42" s="2">
        <f>Alusharidus!AL42*2/3+Alusharidus!AP42*1/3</f>
        <v>46.333333333333336</v>
      </c>
      <c r="AW42" s="18">
        <f t="shared" si="53"/>
        <v>4.1213508872352603E-2</v>
      </c>
      <c r="AX42" s="18">
        <f t="shared" si="54"/>
        <v>4.1015048686928304E-2</v>
      </c>
      <c r="AY42" s="40">
        <f>(L42-I42-362493.61+671109.88)*AW42</f>
        <v>58660.523732112197</v>
      </c>
      <c r="AZ42" s="40">
        <f>(V42-S42-393232.5+754869.55)*AX42</f>
        <v>65793.823189731484</v>
      </c>
      <c r="BB42" s="41" t="s">
        <v>195</v>
      </c>
      <c r="BC42" s="41"/>
      <c r="BD42" s="41" t="s">
        <v>195</v>
      </c>
      <c r="BE42" s="43" t="s">
        <v>201</v>
      </c>
      <c r="BF42" s="2">
        <f t="shared" si="38"/>
        <v>495.3287833035738</v>
      </c>
      <c r="BG42" s="2">
        <f t="shared" si="39"/>
        <v>416.5186611940299</v>
      </c>
      <c r="BH42" s="2">
        <f t="shared" si="40"/>
        <v>17.816641791044777</v>
      </c>
      <c r="BI42" s="2">
        <f t="shared" si="26"/>
        <v>60.993480318499124</v>
      </c>
      <c r="BJ42" s="2">
        <f t="shared" si="41"/>
        <v>540.37320898540531</v>
      </c>
      <c r="BK42" s="2">
        <f t="shared" si="42"/>
        <v>449.85722923076929</v>
      </c>
      <c r="BL42" s="2">
        <f t="shared" si="43"/>
        <v>20.211846153846157</v>
      </c>
      <c r="BM42" s="2">
        <f t="shared" si="27"/>
        <v>70.304133600789868</v>
      </c>
      <c r="BN42" s="2">
        <f t="shared" si="44"/>
        <v>177.01869748267828</v>
      </c>
      <c r="BO42" s="2">
        <f t="shared" si="45"/>
        <v>310.24265149253728</v>
      </c>
      <c r="BP42" s="2">
        <f t="shared" si="28"/>
        <v>8.0674343283582743</v>
      </c>
      <c r="BQ42" s="2">
        <f t="shared" si="46"/>
        <v>218.63179052386681</v>
      </c>
      <c r="BR42" s="2">
        <f t="shared" si="47"/>
        <v>312.19111076923076</v>
      </c>
      <c r="BS42" s="2">
        <f t="shared" si="29"/>
        <v>9.5503076923077401</v>
      </c>
      <c r="BT42" s="18">
        <f t="shared" si="30"/>
        <v>0.84089331214729091</v>
      </c>
      <c r="BU42" s="18">
        <f t="shared" si="31"/>
        <v>0.83249358360199399</v>
      </c>
      <c r="BV42" s="18">
        <f t="shared" si="48"/>
        <v>0.6263368129414717</v>
      </c>
      <c r="BW42" s="18">
        <f t="shared" si="49"/>
        <v>0.57773239971573542</v>
      </c>
      <c r="BX42" s="34">
        <f t="shared" si="50"/>
        <v>11.964285714285714</v>
      </c>
      <c r="BY42" s="34">
        <f t="shared" si="51"/>
        <v>12.3574144486692</v>
      </c>
      <c r="BZ42" s="34">
        <f t="shared" si="32"/>
        <v>10.032943995208147</v>
      </c>
      <c r="CA42" s="34">
        <f t="shared" si="33"/>
        <v>9.6202231891779881</v>
      </c>
      <c r="CB42" s="29">
        <v>1.36</v>
      </c>
      <c r="CC42" s="2">
        <v>2059.9</v>
      </c>
      <c r="CD42" s="2">
        <v>3340</v>
      </c>
      <c r="CE42">
        <v>10432</v>
      </c>
      <c r="CF42" t="s">
        <v>234</v>
      </c>
      <c r="CG42" t="str">
        <f t="shared" si="52"/>
        <v>Keskus-tagamaaline</v>
      </c>
    </row>
    <row r="43" spans="1:85" ht="14.25" customHeight="1" x14ac:dyDescent="0.35">
      <c r="A43" t="s">
        <v>94</v>
      </c>
      <c r="B43" s="10" t="s">
        <v>48</v>
      </c>
      <c r="C43" s="11">
        <v>108999.3</v>
      </c>
      <c r="D43" s="13"/>
      <c r="E43" s="13"/>
      <c r="F43" s="11">
        <v>778082.11000000022</v>
      </c>
      <c r="G43" s="11">
        <v>185316.89</v>
      </c>
      <c r="H43" s="11"/>
      <c r="I43" s="11">
        <v>3503020.13</v>
      </c>
      <c r="J43" s="11">
        <v>161597.87322000001</v>
      </c>
      <c r="K43" s="11">
        <v>170421.5</v>
      </c>
      <c r="L43" s="12">
        <f t="shared" si="36"/>
        <v>4375206.1500000004</v>
      </c>
      <c r="M43" s="11">
        <v>136209.31</v>
      </c>
      <c r="N43" s="13"/>
      <c r="O43" s="13"/>
      <c r="P43" s="11">
        <v>914511.07999999984</v>
      </c>
      <c r="Q43" s="11">
        <v>209581.14</v>
      </c>
      <c r="R43" s="11"/>
      <c r="S43" s="11">
        <v>3738341.55</v>
      </c>
      <c r="T43" s="11">
        <v>148202.16510000001</v>
      </c>
      <c r="U43" s="11">
        <v>169124.77</v>
      </c>
      <c r="V43" s="12">
        <f t="shared" si="37"/>
        <v>4748605.5699999994</v>
      </c>
      <c r="W43" s="11">
        <v>2654004</v>
      </c>
      <c r="X43" s="11">
        <v>66810</v>
      </c>
      <c r="Y43" s="11">
        <v>26582.450000000012</v>
      </c>
      <c r="Z43" s="51">
        <f t="shared" si="18"/>
        <v>2747396.45</v>
      </c>
      <c r="AA43" s="11">
        <v>2774920</v>
      </c>
      <c r="AB43" s="11">
        <v>86764</v>
      </c>
      <c r="AC43" s="11">
        <v>95156.47</v>
      </c>
      <c r="AD43" s="51">
        <f t="shared" si="19"/>
        <v>2956840.47</v>
      </c>
      <c r="AE43" s="2">
        <v>651</v>
      </c>
      <c r="AF43">
        <v>668</v>
      </c>
      <c r="AG43">
        <v>703</v>
      </c>
      <c r="AH43" s="2">
        <f t="shared" si="20"/>
        <v>656.66666666666663</v>
      </c>
      <c r="AI43" s="2">
        <f t="shared" si="21"/>
        <v>679.66666666666663</v>
      </c>
      <c r="AJ43" s="2">
        <v>49</v>
      </c>
      <c r="AK43" s="2">
        <v>50</v>
      </c>
      <c r="AL43" s="2">
        <v>57</v>
      </c>
      <c r="AM43" s="2">
        <f t="shared" si="22"/>
        <v>49.333333333333329</v>
      </c>
      <c r="AN43" s="2">
        <f t="shared" si="23"/>
        <v>52.333333333333336</v>
      </c>
      <c r="AO43" s="2">
        <v>70.100000000000009</v>
      </c>
      <c r="AP43" s="2">
        <v>68.819999999999993</v>
      </c>
      <c r="AQ43" s="2">
        <v>1829284.89</v>
      </c>
      <c r="AR43" s="2">
        <v>1921808.34</v>
      </c>
      <c r="AS43" s="2">
        <f t="shared" si="24"/>
        <v>2174.6135164051352</v>
      </c>
      <c r="AT43" s="2">
        <f t="shared" si="25"/>
        <v>2327.0952484742811</v>
      </c>
      <c r="AU43" s="2">
        <f>Alusharidus!AH43*2/3+Alusharidus!AL43*1/3</f>
        <v>107.33333333333333</v>
      </c>
      <c r="AV43" s="2">
        <f>Alusharidus!AL43*2/3+Alusharidus!AP43*1/3</f>
        <v>110</v>
      </c>
      <c r="AW43" s="18">
        <f t="shared" si="53"/>
        <v>0.14048865619546247</v>
      </c>
      <c r="AX43" s="18">
        <f t="shared" si="54"/>
        <v>0.13929928239763614</v>
      </c>
      <c r="AY43" s="37">
        <f>311638*AW43</f>
        <v>43781.60383944153</v>
      </c>
      <c r="AZ43" s="37">
        <f>320345.32*AX43</f>
        <v>44623.87319544112</v>
      </c>
      <c r="BE43" t="s">
        <v>202</v>
      </c>
      <c r="BF43" s="2">
        <f t="shared" si="38"/>
        <v>549.6731657564161</v>
      </c>
      <c r="BG43" s="2">
        <f t="shared" si="39"/>
        <v>444.54570177664976</v>
      </c>
      <c r="BH43" s="2">
        <f t="shared" si="40"/>
        <v>21.627093908629444</v>
      </c>
      <c r="BI43" s="2">
        <f t="shared" si="26"/>
        <v>83.500370071136885</v>
      </c>
      <c r="BJ43" s="2">
        <f t="shared" si="41"/>
        <v>576.75106630757216</v>
      </c>
      <c r="BK43" s="2">
        <f t="shared" si="42"/>
        <v>458.3547756253065</v>
      </c>
      <c r="BL43" s="2">
        <f t="shared" si="43"/>
        <v>20.73623957822462</v>
      </c>
      <c r="BM43" s="2">
        <f t="shared" si="27"/>
        <v>97.660051104041031</v>
      </c>
      <c r="BN43" s="2">
        <f t="shared" si="44"/>
        <v>201.01879392900494</v>
      </c>
      <c r="BO43" s="2">
        <f t="shared" si="45"/>
        <v>340.17594543147214</v>
      </c>
      <c r="BP43" s="2">
        <f t="shared" si="28"/>
        <v>8.4784263959390387</v>
      </c>
      <c r="BQ43" s="2">
        <f t="shared" si="46"/>
        <v>214.21545203587027</v>
      </c>
      <c r="BR43" s="2">
        <f t="shared" si="47"/>
        <v>351.89755640019621</v>
      </c>
      <c r="BS43" s="2">
        <f t="shared" si="29"/>
        <v>10.63805787150568</v>
      </c>
      <c r="BT43" s="18">
        <f t="shared" si="30"/>
        <v>0.80874550454887428</v>
      </c>
      <c r="BU43" s="18">
        <f t="shared" si="31"/>
        <v>0.79471855779955025</v>
      </c>
      <c r="BV43" s="18">
        <f t="shared" si="48"/>
        <v>0.61886947848972984</v>
      </c>
      <c r="BW43" s="18">
        <f t="shared" si="49"/>
        <v>0.61013767803341157</v>
      </c>
      <c r="BX43" s="34">
        <f t="shared" si="50"/>
        <v>13.310810810810811</v>
      </c>
      <c r="BY43" s="34">
        <f t="shared" si="51"/>
        <v>12.987261146496815</v>
      </c>
      <c r="BZ43" s="34">
        <f t="shared" si="32"/>
        <v>9.3675701378982392</v>
      </c>
      <c r="CA43" s="34">
        <f t="shared" si="33"/>
        <v>9.8760050372953607</v>
      </c>
      <c r="CB43" s="29">
        <v>1.88</v>
      </c>
      <c r="CC43" s="2">
        <v>5232.3999999999996</v>
      </c>
      <c r="CD43" s="2">
        <v>4723.8</v>
      </c>
      <c r="CE43">
        <v>6713</v>
      </c>
      <c r="CF43" t="s">
        <v>234</v>
      </c>
      <c r="CG43" t="str">
        <f t="shared" si="52"/>
        <v>Tagamaaline</v>
      </c>
    </row>
    <row r="44" spans="1:85" ht="14.25" customHeight="1" x14ac:dyDescent="0.35">
      <c r="A44" t="s">
        <v>93</v>
      </c>
      <c r="B44" s="10" t="s">
        <v>49</v>
      </c>
      <c r="C44" s="11">
        <v>63331.16</v>
      </c>
      <c r="D44" s="11">
        <v>89.03</v>
      </c>
      <c r="E44" s="11">
        <v>45246.8</v>
      </c>
      <c r="F44" s="11">
        <v>378358.33000000007</v>
      </c>
      <c r="G44" s="11">
        <v>42693.150000000009</v>
      </c>
      <c r="H44" s="11"/>
      <c r="I44" s="11">
        <v>2662598.86</v>
      </c>
      <c r="J44" s="11">
        <v>182483.54478</v>
      </c>
      <c r="K44" s="11">
        <v>303374.96000000002</v>
      </c>
      <c r="L44" s="12">
        <f t="shared" si="36"/>
        <v>3365059.19</v>
      </c>
      <c r="M44" s="11">
        <v>78264.800000000003</v>
      </c>
      <c r="N44" s="13"/>
      <c r="O44" s="11">
        <v>13470</v>
      </c>
      <c r="P44" s="11">
        <v>460487.61000000022</v>
      </c>
      <c r="Q44" s="11">
        <v>66361.89</v>
      </c>
      <c r="R44" s="11"/>
      <c r="S44" s="11">
        <v>2610691.870000001</v>
      </c>
      <c r="T44" s="11">
        <v>173223.63480000003</v>
      </c>
      <c r="U44" s="11">
        <v>277009.59000000003</v>
      </c>
      <c r="V44" s="12">
        <f t="shared" si="37"/>
        <v>3360091.9800000009</v>
      </c>
      <c r="W44" s="11">
        <v>2026251</v>
      </c>
      <c r="X44" s="11">
        <v>36414</v>
      </c>
      <c r="Y44" s="11">
        <v>25778.75</v>
      </c>
      <c r="Z44" s="51">
        <f t="shared" si="18"/>
        <v>2088443.75</v>
      </c>
      <c r="AA44" s="11">
        <v>1965492</v>
      </c>
      <c r="AB44" s="11">
        <v>31392</v>
      </c>
      <c r="AC44" s="11">
        <v>89704.18</v>
      </c>
      <c r="AD44" s="51">
        <f t="shared" si="19"/>
        <v>2086588.18</v>
      </c>
      <c r="AE44" s="2">
        <v>506</v>
      </c>
      <c r="AF44">
        <v>466</v>
      </c>
      <c r="AG44">
        <v>453</v>
      </c>
      <c r="AH44" s="2">
        <f t="shared" si="20"/>
        <v>492.66666666666663</v>
      </c>
      <c r="AI44" s="2">
        <f t="shared" si="21"/>
        <v>461.66666666666669</v>
      </c>
      <c r="AJ44" s="2">
        <v>44</v>
      </c>
      <c r="AK44" s="2">
        <v>39</v>
      </c>
      <c r="AL44" s="2">
        <v>43</v>
      </c>
      <c r="AM44" s="2">
        <f t="shared" si="22"/>
        <v>42.333333333333329</v>
      </c>
      <c r="AN44" s="2">
        <f t="shared" si="23"/>
        <v>40.333333333333336</v>
      </c>
      <c r="AO44" s="2">
        <v>62.88</v>
      </c>
      <c r="AP44" s="2">
        <v>58.61</v>
      </c>
      <c r="AQ44" s="2">
        <v>1452315.49</v>
      </c>
      <c r="AR44" s="2">
        <v>1370992.93</v>
      </c>
      <c r="AS44" s="2">
        <f t="shared" si="24"/>
        <v>1924.7183656700593</v>
      </c>
      <c r="AT44" s="2">
        <f t="shared" si="25"/>
        <v>1949.3160012512083</v>
      </c>
      <c r="AU44" s="2">
        <f>Alusharidus!AH44*2/3+Alusharidus!AL44*1/3</f>
        <v>0</v>
      </c>
      <c r="AV44" s="2">
        <f>Alusharidus!AL44*2/3+Alusharidus!AP44*1/3</f>
        <v>0</v>
      </c>
      <c r="AW44" s="18">
        <f t="shared" si="53"/>
        <v>0</v>
      </c>
      <c r="AX44" s="18">
        <f t="shared" si="54"/>
        <v>0</v>
      </c>
      <c r="AY44" s="40"/>
      <c r="AZ44" s="40"/>
      <c r="BF44" s="2">
        <f t="shared" si="38"/>
        <v>569.19133795669825</v>
      </c>
      <c r="BG44" s="2">
        <f t="shared" si="39"/>
        <v>450.37193166441142</v>
      </c>
      <c r="BH44" s="2">
        <f t="shared" si="40"/>
        <v>51.315115020297704</v>
      </c>
      <c r="BI44" s="2">
        <f t="shared" si="26"/>
        <v>67.504291271989132</v>
      </c>
      <c r="BJ44" s="2">
        <f t="shared" si="41"/>
        <v>606.51479783393518</v>
      </c>
      <c r="BK44" s="2">
        <f t="shared" si="42"/>
        <v>471.24401985559581</v>
      </c>
      <c r="BL44" s="2">
        <f t="shared" si="43"/>
        <v>50.001731046931411</v>
      </c>
      <c r="BM44" s="2">
        <f t="shared" si="27"/>
        <v>85.269046931407956</v>
      </c>
      <c r="BN44" s="2">
        <f t="shared" si="44"/>
        <v>215.93630581867387</v>
      </c>
      <c r="BO44" s="2">
        <f t="shared" si="45"/>
        <v>347.09569519621112</v>
      </c>
      <c r="BP44" s="2">
        <f t="shared" si="28"/>
        <v>6.1593369418132511</v>
      </c>
      <c r="BQ44" s="2">
        <f t="shared" si="46"/>
        <v>229.87433212996407</v>
      </c>
      <c r="BR44" s="2">
        <f t="shared" si="47"/>
        <v>370.97403971119132</v>
      </c>
      <c r="BS44" s="2">
        <f t="shared" si="29"/>
        <v>5.6664259927798071</v>
      </c>
      <c r="BT44" s="18">
        <f t="shared" si="30"/>
        <v>0.79124874472118878</v>
      </c>
      <c r="BU44" s="18">
        <f t="shared" si="31"/>
        <v>0.77697035841262896</v>
      </c>
      <c r="BV44" s="18">
        <f t="shared" si="48"/>
        <v>0.60980494967162824</v>
      </c>
      <c r="BW44" s="18">
        <f t="shared" si="49"/>
        <v>0.61164878587639127</v>
      </c>
      <c r="BX44" s="34">
        <f t="shared" si="50"/>
        <v>11.637795275590552</v>
      </c>
      <c r="BY44" s="34">
        <f t="shared" si="51"/>
        <v>11.446280991735536</v>
      </c>
      <c r="BZ44" s="34">
        <f t="shared" si="32"/>
        <v>7.8350296861747237</v>
      </c>
      <c r="CA44" s="34">
        <f t="shared" si="33"/>
        <v>7.8769265768071435</v>
      </c>
      <c r="CB44" s="29">
        <v>1.7</v>
      </c>
      <c r="CC44" s="2">
        <v>1789.7</v>
      </c>
      <c r="CD44" s="2">
        <v>1766.5</v>
      </c>
      <c r="CE44">
        <v>5536</v>
      </c>
      <c r="CF44" t="s">
        <v>234</v>
      </c>
      <c r="CG44" t="str">
        <f t="shared" si="52"/>
        <v>Keskus-tagamaaline</v>
      </c>
    </row>
    <row r="45" spans="1:85" ht="14.25" customHeight="1" x14ac:dyDescent="0.35">
      <c r="A45" t="s">
        <v>91</v>
      </c>
      <c r="B45" s="10" t="s">
        <v>50</v>
      </c>
      <c r="C45" s="11">
        <v>106854.34</v>
      </c>
      <c r="D45" s="13"/>
      <c r="E45" s="13"/>
      <c r="F45" s="11">
        <v>634579.80000000016</v>
      </c>
      <c r="G45" s="11">
        <v>41566.329999999987</v>
      </c>
      <c r="H45" s="11"/>
      <c r="I45" s="11">
        <v>3285420.83</v>
      </c>
      <c r="J45" s="11">
        <v>262123.2984</v>
      </c>
      <c r="K45" s="11">
        <v>266603.78999999998</v>
      </c>
      <c r="L45" s="12">
        <f t="shared" si="36"/>
        <v>4251892.43</v>
      </c>
      <c r="M45" s="11">
        <v>107060.17</v>
      </c>
      <c r="N45" s="13"/>
      <c r="O45" s="11">
        <v>770</v>
      </c>
      <c r="P45" s="11">
        <v>612037.29999999958</v>
      </c>
      <c r="Q45" s="11">
        <v>56533.63</v>
      </c>
      <c r="R45" s="11">
        <v>1700</v>
      </c>
      <c r="S45" s="11">
        <v>3293635.13</v>
      </c>
      <c r="T45" s="11">
        <v>238962.98670000001</v>
      </c>
      <c r="U45" s="11">
        <v>261252.52</v>
      </c>
      <c r="V45" s="12">
        <f t="shared" si="37"/>
        <v>4217451.4899999993</v>
      </c>
      <c r="W45" s="11">
        <v>2509081</v>
      </c>
      <c r="X45" s="11">
        <v>42840</v>
      </c>
      <c r="Y45" s="11">
        <v>31993.339999999997</v>
      </c>
      <c r="Z45" s="51">
        <f t="shared" si="18"/>
        <v>2583914.34</v>
      </c>
      <c r="AA45" s="11">
        <v>2506002</v>
      </c>
      <c r="AB45" s="11">
        <v>40766</v>
      </c>
      <c r="AC45" s="11">
        <v>32685.659999999989</v>
      </c>
      <c r="AD45" s="51">
        <f t="shared" si="19"/>
        <v>2579453.66</v>
      </c>
      <c r="AE45" s="2">
        <v>622</v>
      </c>
      <c r="AF45">
        <v>625</v>
      </c>
      <c r="AG45">
        <v>636</v>
      </c>
      <c r="AH45" s="2">
        <f t="shared" si="20"/>
        <v>623</v>
      </c>
      <c r="AI45" s="2">
        <f t="shared" si="21"/>
        <v>628.66666666666674</v>
      </c>
      <c r="AJ45" s="2">
        <v>50</v>
      </c>
      <c r="AK45" s="2">
        <v>49</v>
      </c>
      <c r="AL45" s="2">
        <v>51</v>
      </c>
      <c r="AM45" s="2">
        <f t="shared" si="22"/>
        <v>49.666666666666671</v>
      </c>
      <c r="AN45" s="2">
        <f t="shared" si="23"/>
        <v>49.666666666666664</v>
      </c>
      <c r="AO45" s="2">
        <v>62.51</v>
      </c>
      <c r="AP45" s="2">
        <v>62.35</v>
      </c>
      <c r="AQ45" s="2">
        <v>1659838.04</v>
      </c>
      <c r="AR45" s="2">
        <v>1654823.31</v>
      </c>
      <c r="AS45" s="2">
        <f t="shared" si="24"/>
        <v>2212.7633445315419</v>
      </c>
      <c r="AT45" s="2">
        <f t="shared" si="25"/>
        <v>2211.7392542101043</v>
      </c>
      <c r="AU45" s="2">
        <f>Alusharidus!AH45*2/3+Alusharidus!AL45*1/3</f>
        <v>63.333333333333329</v>
      </c>
      <c r="AV45" s="2">
        <f>Alusharidus!AL45*2/3+Alusharidus!AP45*1/3</f>
        <v>61.666666666666664</v>
      </c>
      <c r="AW45" s="18">
        <f t="shared" si="53"/>
        <v>9.2277804759592019E-2</v>
      </c>
      <c r="AX45" s="18">
        <f t="shared" si="54"/>
        <v>8.9328826653790425E-2</v>
      </c>
      <c r="AY45" s="40">
        <f>J45*AW45</f>
        <v>24188.162552695478</v>
      </c>
      <c r="AZ45" s="40">
        <f>T45*AX45</f>
        <v>21346.283215596326</v>
      </c>
      <c r="BA45" s="25" t="s">
        <v>195</v>
      </c>
      <c r="BB45" s="41"/>
      <c r="BC45" s="41"/>
      <c r="BD45" s="41"/>
      <c r="BE45" s="42" t="s">
        <v>196</v>
      </c>
      <c r="BF45" s="2">
        <f t="shared" si="38"/>
        <v>565.50351356973033</v>
      </c>
      <c r="BG45" s="2">
        <f t="shared" si="39"/>
        <v>439.46239031567683</v>
      </c>
      <c r="BH45" s="2">
        <f t="shared" si="40"/>
        <v>35.661288121990367</v>
      </c>
      <c r="BI45" s="2">
        <f t="shared" si="26"/>
        <v>90.379835132063135</v>
      </c>
      <c r="BJ45" s="2">
        <f t="shared" si="41"/>
        <v>556.21755127046697</v>
      </c>
      <c r="BK45" s="2">
        <f t="shared" si="42"/>
        <v>436.59002253446442</v>
      </c>
      <c r="BL45" s="2">
        <f t="shared" si="43"/>
        <v>34.85584835630965</v>
      </c>
      <c r="BM45" s="2">
        <f t="shared" si="27"/>
        <v>84.771680379692896</v>
      </c>
      <c r="BN45" s="2">
        <f t="shared" si="44"/>
        <v>219.87559222141576</v>
      </c>
      <c r="BO45" s="2">
        <f t="shared" si="45"/>
        <v>339.8975842696629</v>
      </c>
      <c r="BP45" s="2">
        <f t="shared" si="28"/>
        <v>5.7303370786516439</v>
      </c>
      <c r="BQ45" s="2">
        <f t="shared" si="46"/>
        <v>214.29633440938528</v>
      </c>
      <c r="BR45" s="2">
        <f t="shared" si="47"/>
        <v>336.51745227995758</v>
      </c>
      <c r="BS45" s="2">
        <f t="shared" si="29"/>
        <v>5.4037645811241077</v>
      </c>
      <c r="BT45" s="18">
        <f t="shared" si="30"/>
        <v>0.7771169935648653</v>
      </c>
      <c r="BU45" s="18">
        <f t="shared" si="31"/>
        <v>0.78492672792730278</v>
      </c>
      <c r="BV45" s="18">
        <f t="shared" si="48"/>
        <v>0.60105300164107867</v>
      </c>
      <c r="BW45" s="18">
        <f t="shared" si="49"/>
        <v>0.60501048827264037</v>
      </c>
      <c r="BX45" s="34">
        <f t="shared" si="50"/>
        <v>12.543624161073824</v>
      </c>
      <c r="BY45" s="34">
        <f t="shared" si="51"/>
        <v>12.657718120805372</v>
      </c>
      <c r="BZ45" s="34">
        <f t="shared" si="32"/>
        <v>9.9664053751399777</v>
      </c>
      <c r="CA45" s="34">
        <f t="shared" si="33"/>
        <v>10.082865543972201</v>
      </c>
      <c r="CB45" s="29">
        <v>1.98</v>
      </c>
      <c r="CC45" s="2">
        <v>3129.8</v>
      </c>
      <c r="CD45" s="2">
        <v>3218.8</v>
      </c>
      <c r="CE45">
        <v>5530</v>
      </c>
      <c r="CF45" t="s">
        <v>234</v>
      </c>
      <c r="CG45" t="str">
        <f t="shared" si="52"/>
        <v>Tagamaaline</v>
      </c>
    </row>
    <row r="46" spans="1:85" ht="14.25" customHeight="1" x14ac:dyDescent="0.35">
      <c r="A46" t="s">
        <v>157</v>
      </c>
      <c r="B46" s="10" t="s">
        <v>51</v>
      </c>
      <c r="C46" s="11">
        <v>76412.540000000008</v>
      </c>
      <c r="D46" s="11">
        <v>133</v>
      </c>
      <c r="E46" s="13"/>
      <c r="F46" s="11">
        <v>558922.08999999985</v>
      </c>
      <c r="G46" s="11">
        <v>133167.10999999999</v>
      </c>
      <c r="H46" s="11"/>
      <c r="I46" s="11">
        <v>2682448.3299999991</v>
      </c>
      <c r="J46" s="11">
        <v>238442.79906000002</v>
      </c>
      <c r="K46" s="11">
        <v>139802.49</v>
      </c>
      <c r="L46" s="12">
        <f t="shared" si="36"/>
        <v>3324551.3399999994</v>
      </c>
      <c r="M46" s="11">
        <v>86785.14</v>
      </c>
      <c r="N46" s="11">
        <v>960</v>
      </c>
      <c r="O46" s="13"/>
      <c r="P46" s="11">
        <v>643412.02999999991</v>
      </c>
      <c r="Q46" s="11">
        <v>137957.5</v>
      </c>
      <c r="R46" s="11"/>
      <c r="S46" s="11">
        <v>2658105.4</v>
      </c>
      <c r="T46" s="11">
        <v>225894.83436000001</v>
      </c>
      <c r="U46" s="11">
        <v>140068.81</v>
      </c>
      <c r="V46" s="12">
        <f t="shared" si="37"/>
        <v>3391373.88</v>
      </c>
      <c r="W46" s="11">
        <v>1863527</v>
      </c>
      <c r="X46" s="11">
        <v>36108</v>
      </c>
      <c r="Y46" s="11">
        <v>154190.29999999999</v>
      </c>
      <c r="Z46" s="51">
        <f t="shared" si="18"/>
        <v>2053825.3</v>
      </c>
      <c r="AA46" s="11">
        <v>1877369</v>
      </c>
      <c r="AB46" s="11">
        <v>31065</v>
      </c>
      <c r="AC46" s="11">
        <v>242257.25</v>
      </c>
      <c r="AD46" s="51">
        <f t="shared" si="19"/>
        <v>2150691.25</v>
      </c>
      <c r="AE46" s="2">
        <v>481</v>
      </c>
      <c r="AF46">
        <v>474</v>
      </c>
      <c r="AG46">
        <v>451</v>
      </c>
      <c r="AH46" s="2">
        <f t="shared" si="20"/>
        <v>478.66666666666669</v>
      </c>
      <c r="AI46" s="2">
        <f t="shared" si="21"/>
        <v>466.33333333333337</v>
      </c>
      <c r="AJ46" s="2">
        <v>37</v>
      </c>
      <c r="AK46" s="2">
        <v>39</v>
      </c>
      <c r="AL46" s="2">
        <v>37</v>
      </c>
      <c r="AM46" s="2">
        <f t="shared" si="22"/>
        <v>37.666666666666671</v>
      </c>
      <c r="AN46" s="2">
        <f t="shared" si="23"/>
        <v>38.333333333333336</v>
      </c>
      <c r="AO46" s="2">
        <v>48.94</v>
      </c>
      <c r="AP46" s="2">
        <v>48.62</v>
      </c>
      <c r="AQ46" s="2">
        <v>1316224.28</v>
      </c>
      <c r="AR46" s="2">
        <v>1305778.05</v>
      </c>
      <c r="AS46" s="2">
        <f t="shared" si="24"/>
        <v>2241.2210189347502</v>
      </c>
      <c r="AT46" s="2">
        <f t="shared" si="25"/>
        <v>2238.0674105306462</v>
      </c>
      <c r="AU46" s="2">
        <f>Alusharidus!AH46*2/3+Alusharidus!AL46*1/3</f>
        <v>27</v>
      </c>
      <c r="AV46" s="2">
        <f>Alusharidus!AL46*2/3+Alusharidus!AP46*1/3</f>
        <v>23.666666666666668</v>
      </c>
      <c r="AW46" s="18">
        <f t="shared" si="53"/>
        <v>5.3394858272907054E-2</v>
      </c>
      <c r="AX46" s="18">
        <f t="shared" si="54"/>
        <v>4.829931972789115E-2</v>
      </c>
      <c r="AY46" s="40"/>
      <c r="AZ46" s="40"/>
      <c r="BA46" s="25" t="s">
        <v>195</v>
      </c>
      <c r="BB46" s="41"/>
      <c r="BC46" s="41"/>
      <c r="BD46" s="41"/>
      <c r="BE46" s="43" t="s">
        <v>204</v>
      </c>
      <c r="BF46" s="2">
        <f t="shared" si="38"/>
        <v>578.78679317548733</v>
      </c>
      <c r="BG46" s="2">
        <f t="shared" si="39"/>
        <v>467.00005745125333</v>
      </c>
      <c r="BH46" s="2">
        <f t="shared" si="40"/>
        <v>24.338873607242338</v>
      </c>
      <c r="BI46" s="2">
        <f t="shared" si="26"/>
        <v>87.447862116991672</v>
      </c>
      <c r="BJ46" s="2">
        <f t="shared" si="41"/>
        <v>606.03536097212293</v>
      </c>
      <c r="BK46" s="2">
        <f t="shared" si="42"/>
        <v>475.00096497498208</v>
      </c>
      <c r="BL46" s="2">
        <f t="shared" si="43"/>
        <v>25.030166190135812</v>
      </c>
      <c r="BM46" s="2">
        <f t="shared" si="27"/>
        <v>106.00422980700503</v>
      </c>
      <c r="BN46" s="2">
        <f t="shared" si="44"/>
        <v>221.22667827298039</v>
      </c>
      <c r="BO46" s="2">
        <f t="shared" si="45"/>
        <v>351.27390320334263</v>
      </c>
      <c r="BP46" s="2">
        <f t="shared" si="28"/>
        <v>6.286211699164312</v>
      </c>
      <c r="BQ46" s="2">
        <f t="shared" si="46"/>
        <v>221.70883309506789</v>
      </c>
      <c r="BR46" s="2">
        <f t="shared" si="47"/>
        <v>378.77524124374548</v>
      </c>
      <c r="BS46" s="2">
        <f t="shared" si="29"/>
        <v>5.5512866333095303</v>
      </c>
      <c r="BT46" s="18">
        <f t="shared" si="30"/>
        <v>0.80686025140463002</v>
      </c>
      <c r="BU46" s="18">
        <f t="shared" si="31"/>
        <v>0.78378424026784088</v>
      </c>
      <c r="BV46" s="18">
        <f t="shared" si="48"/>
        <v>0.60691416484487215</v>
      </c>
      <c r="BW46" s="18">
        <f t="shared" si="49"/>
        <v>0.62500518226554247</v>
      </c>
      <c r="BX46" s="34">
        <f t="shared" si="50"/>
        <v>12.707964601769911</v>
      </c>
      <c r="BY46" s="34">
        <f t="shared" si="51"/>
        <v>12.165217391304347</v>
      </c>
      <c r="BZ46" s="34">
        <f t="shared" si="32"/>
        <v>9.7806838305407986</v>
      </c>
      <c r="CA46" s="34">
        <f t="shared" si="33"/>
        <v>9.5913890031537097</v>
      </c>
      <c r="CB46" s="29">
        <v>2.02</v>
      </c>
      <c r="CC46" s="2">
        <v>3417.5</v>
      </c>
      <c r="CD46" s="2">
        <v>4672</v>
      </c>
      <c r="CE46">
        <v>4976</v>
      </c>
      <c r="CF46" t="s">
        <v>234</v>
      </c>
      <c r="CG46" t="str">
        <f t="shared" si="52"/>
        <v>Tagamaaline</v>
      </c>
    </row>
    <row r="47" spans="1:85" ht="14.25" customHeight="1" x14ac:dyDescent="0.35">
      <c r="A47" t="s">
        <v>146</v>
      </c>
      <c r="B47" s="10" t="s">
        <v>52</v>
      </c>
      <c r="C47" s="11">
        <v>4987.97</v>
      </c>
      <c r="D47" s="13"/>
      <c r="E47" s="11">
        <v>804</v>
      </c>
      <c r="F47" s="11">
        <v>51098.97</v>
      </c>
      <c r="G47" s="11">
        <v>17238</v>
      </c>
      <c r="H47" s="11"/>
      <c r="I47" s="11">
        <v>279568.78000000003</v>
      </c>
      <c r="J47" s="11">
        <v>34968.081420000002</v>
      </c>
      <c r="K47" s="11">
        <v>34696.920000000013</v>
      </c>
      <c r="L47" s="12">
        <f t="shared" si="36"/>
        <v>353114.64</v>
      </c>
      <c r="M47" s="11">
        <v>6035.11</v>
      </c>
      <c r="N47" s="13"/>
      <c r="O47" s="11">
        <v>780</v>
      </c>
      <c r="P47" s="11">
        <v>58419.900000000009</v>
      </c>
      <c r="Q47" s="11">
        <v>17004</v>
      </c>
      <c r="R47" s="11"/>
      <c r="S47" s="11">
        <v>293107.49</v>
      </c>
      <c r="T47" s="11">
        <v>36711.508800000003</v>
      </c>
      <c r="U47" s="11">
        <v>34437.56</v>
      </c>
      <c r="V47" s="12">
        <f t="shared" si="37"/>
        <v>374996.06</v>
      </c>
      <c r="W47" s="11">
        <v>241503</v>
      </c>
      <c r="X47" s="11"/>
      <c r="Y47" s="11">
        <v>1500</v>
      </c>
      <c r="Z47" s="51">
        <f t="shared" si="18"/>
        <v>243003</v>
      </c>
      <c r="AA47" s="11">
        <v>241146</v>
      </c>
      <c r="AB47" s="11"/>
      <c r="AC47" s="11">
        <v>9921</v>
      </c>
      <c r="AD47" s="51">
        <f t="shared" si="19"/>
        <v>251067</v>
      </c>
      <c r="AE47" s="2">
        <v>36</v>
      </c>
      <c r="AF47">
        <v>29</v>
      </c>
      <c r="AG47">
        <v>27</v>
      </c>
      <c r="AH47" s="2">
        <f t="shared" si="20"/>
        <v>33.666666666666664</v>
      </c>
      <c r="AI47" s="2">
        <f t="shared" si="21"/>
        <v>28.333333333333332</v>
      </c>
      <c r="AJ47" s="2">
        <v>4</v>
      </c>
      <c r="AK47" s="2">
        <v>6</v>
      </c>
      <c r="AL47" s="2">
        <v>5</v>
      </c>
      <c r="AM47" s="2">
        <f t="shared" si="22"/>
        <v>4.6666666666666661</v>
      </c>
      <c r="AN47" s="2">
        <f t="shared" si="23"/>
        <v>5.666666666666667</v>
      </c>
      <c r="AO47" s="2">
        <v>7.22</v>
      </c>
      <c r="AP47" s="2">
        <v>7.58</v>
      </c>
      <c r="AQ47" s="2">
        <v>167014.35</v>
      </c>
      <c r="AR47" s="2">
        <v>175437.24</v>
      </c>
      <c r="AS47" s="2">
        <f t="shared" si="24"/>
        <v>1927.6817867036013</v>
      </c>
      <c r="AT47" s="2">
        <f t="shared" si="25"/>
        <v>1928.7295514511873</v>
      </c>
      <c r="AU47" s="2">
        <f>Alusharidus!AH47*2/3+Alusharidus!AL47*1/3</f>
        <v>15</v>
      </c>
      <c r="AV47" s="2">
        <f>Alusharidus!AL47*2/3+Alusharidus!AP47*1/3</f>
        <v>14.666666666666668</v>
      </c>
      <c r="AW47" s="18">
        <f t="shared" si="53"/>
        <v>0.30821917808219179</v>
      </c>
      <c r="AX47" s="18">
        <f t="shared" si="54"/>
        <v>0.34108527131782951</v>
      </c>
      <c r="AY47" s="40"/>
      <c r="AZ47" s="40"/>
      <c r="BA47" s="25" t="s">
        <v>195</v>
      </c>
      <c r="BF47" s="2">
        <f t="shared" si="38"/>
        <v>874.04613861386144</v>
      </c>
      <c r="BG47" s="2">
        <f t="shared" si="39"/>
        <v>692.00193069306943</v>
      </c>
      <c r="BH47" s="2">
        <f t="shared" si="40"/>
        <v>85.883465346534692</v>
      </c>
      <c r="BI47" s="2">
        <f t="shared" si="26"/>
        <v>96.160742574257327</v>
      </c>
      <c r="BJ47" s="2">
        <f t="shared" si="41"/>
        <v>1102.9295882352942</v>
      </c>
      <c r="BK47" s="2">
        <f t="shared" si="42"/>
        <v>862.08085294117654</v>
      </c>
      <c r="BL47" s="2">
        <f t="shared" si="43"/>
        <v>101.28694117647058</v>
      </c>
      <c r="BM47" s="2">
        <f t="shared" si="27"/>
        <v>139.56179411764708</v>
      </c>
      <c r="BN47" s="2">
        <f t="shared" si="44"/>
        <v>272.55356435643569</v>
      </c>
      <c r="BO47" s="2">
        <f t="shared" si="45"/>
        <v>601.49257425742576</v>
      </c>
      <c r="BP47" s="2">
        <f t="shared" si="28"/>
        <v>0</v>
      </c>
      <c r="BQ47" s="2">
        <f t="shared" si="46"/>
        <v>364.49723529411767</v>
      </c>
      <c r="BR47" s="2">
        <f t="shared" si="47"/>
        <v>738.43235294117642</v>
      </c>
      <c r="BS47" s="2">
        <f t="shared" si="29"/>
        <v>0</v>
      </c>
      <c r="BT47" s="18">
        <f t="shared" si="30"/>
        <v>0.79172242759461919</v>
      </c>
      <c r="BU47" s="18">
        <f t="shared" si="31"/>
        <v>0.78162818564013714</v>
      </c>
      <c r="BV47" s="18">
        <f t="shared" si="48"/>
        <v>0.68817027807173325</v>
      </c>
      <c r="BW47" s="18">
        <f t="shared" si="49"/>
        <v>0.66951903441332161</v>
      </c>
      <c r="BX47" s="34">
        <f t="shared" si="50"/>
        <v>7.2142857142857144</v>
      </c>
      <c r="BY47" s="34">
        <f t="shared" si="51"/>
        <v>4.9999999999999991</v>
      </c>
      <c r="BZ47" s="34">
        <f t="shared" si="32"/>
        <v>4.6629732225300087</v>
      </c>
      <c r="CA47" s="34">
        <f t="shared" si="33"/>
        <v>3.7379067722075634</v>
      </c>
      <c r="CB47" s="29">
        <v>2.1</v>
      </c>
      <c r="CC47" s="2">
        <v>1640.3</v>
      </c>
      <c r="CD47" s="2">
        <v>1971.8</v>
      </c>
      <c r="CE47">
        <v>671</v>
      </c>
      <c r="CF47" t="s">
        <v>233</v>
      </c>
      <c r="CG47" t="s">
        <v>288</v>
      </c>
    </row>
    <row r="48" spans="1:85" ht="14.25" customHeight="1" x14ac:dyDescent="0.35">
      <c r="A48" t="s">
        <v>111</v>
      </c>
      <c r="B48" s="10" t="s">
        <v>53</v>
      </c>
      <c r="C48" s="11">
        <v>43420.03</v>
      </c>
      <c r="D48" s="13"/>
      <c r="E48" s="11">
        <v>25194.55</v>
      </c>
      <c r="F48" s="11">
        <v>334047.34000000003</v>
      </c>
      <c r="G48" s="11">
        <v>73845.58</v>
      </c>
      <c r="H48" s="11"/>
      <c r="I48" s="11">
        <v>2375430.64</v>
      </c>
      <c r="J48" s="11">
        <v>110546.63039999999</v>
      </c>
      <c r="K48" s="11">
        <v>112032.46</v>
      </c>
      <c r="L48" s="12">
        <f t="shared" si="36"/>
        <v>2791084.89</v>
      </c>
      <c r="M48" s="11">
        <v>52554.65</v>
      </c>
      <c r="N48" s="13"/>
      <c r="O48" s="11">
        <v>5026.74</v>
      </c>
      <c r="P48" s="11">
        <v>925114.05999999982</v>
      </c>
      <c r="Q48" s="11">
        <v>85065.760000000009</v>
      </c>
      <c r="R48" s="11"/>
      <c r="S48" s="11">
        <v>2444387.06</v>
      </c>
      <c r="T48" s="11">
        <v>115629.78606</v>
      </c>
      <c r="U48" s="11">
        <v>119633.66</v>
      </c>
      <c r="V48" s="12">
        <f t="shared" si="37"/>
        <v>3456623.67</v>
      </c>
      <c r="W48" s="11">
        <v>1634130</v>
      </c>
      <c r="X48" s="11">
        <v>55794</v>
      </c>
      <c r="Y48" s="11">
        <v>37668.459999999992</v>
      </c>
      <c r="Z48" s="51">
        <f t="shared" si="18"/>
        <v>1727592.46</v>
      </c>
      <c r="AA48" s="11">
        <v>1580650</v>
      </c>
      <c r="AB48" s="11">
        <v>64310</v>
      </c>
      <c r="AC48" s="11">
        <v>135955.63</v>
      </c>
      <c r="AD48" s="51">
        <f t="shared" si="19"/>
        <v>1780915.63</v>
      </c>
      <c r="AE48" s="2">
        <v>424</v>
      </c>
      <c r="AF48">
        <v>407</v>
      </c>
      <c r="AG48">
        <v>415</v>
      </c>
      <c r="AH48" s="2">
        <f t="shared" si="20"/>
        <v>418.33333333333337</v>
      </c>
      <c r="AI48" s="2">
        <f t="shared" si="21"/>
        <v>409.66666666666663</v>
      </c>
      <c r="AJ48" s="2">
        <v>35</v>
      </c>
      <c r="AK48" s="2">
        <v>33</v>
      </c>
      <c r="AL48" s="2">
        <v>38</v>
      </c>
      <c r="AM48" s="2">
        <f t="shared" si="22"/>
        <v>34.333333333333329</v>
      </c>
      <c r="AN48" s="2">
        <f t="shared" si="23"/>
        <v>34.666666666666664</v>
      </c>
      <c r="AO48" s="2">
        <v>42.02</v>
      </c>
      <c r="AP48" s="2">
        <v>42.48</v>
      </c>
      <c r="AQ48" s="2">
        <v>1122105.19</v>
      </c>
      <c r="AR48" s="2">
        <v>1147632.04</v>
      </c>
      <c r="AS48" s="2">
        <f t="shared" si="24"/>
        <v>2225.3395010312547</v>
      </c>
      <c r="AT48" s="2">
        <f t="shared" si="25"/>
        <v>2251.3183458882613</v>
      </c>
      <c r="AU48" s="2">
        <f>Alusharidus!AH48*2/3+Alusharidus!AL48*1/3</f>
        <v>55.333333333333329</v>
      </c>
      <c r="AV48" s="2">
        <f>Alusharidus!AL48*2/3+Alusharidus!AP48*1/3</f>
        <v>52.666666666666664</v>
      </c>
      <c r="AW48" s="18">
        <f t="shared" si="53"/>
        <v>0.11681914144968331</v>
      </c>
      <c r="AX48" s="18">
        <f t="shared" si="54"/>
        <v>0.11391492429704397</v>
      </c>
      <c r="AY48" s="40"/>
      <c r="AZ48" s="40"/>
      <c r="BA48" s="25" t="s">
        <v>195</v>
      </c>
      <c r="BF48" s="2">
        <f t="shared" si="38"/>
        <v>555.99300597609556</v>
      </c>
      <c r="BG48" s="2">
        <f t="shared" si="39"/>
        <v>473.1933545816733</v>
      </c>
      <c r="BH48" s="2">
        <f t="shared" si="40"/>
        <v>22.31722310756972</v>
      </c>
      <c r="BI48" s="2">
        <f t="shared" si="26"/>
        <v>60.482428286852539</v>
      </c>
      <c r="BJ48" s="2">
        <f t="shared" si="41"/>
        <v>703.13744304312456</v>
      </c>
      <c r="BK48" s="2">
        <f t="shared" si="42"/>
        <v>497.23089096826698</v>
      </c>
      <c r="BL48" s="2">
        <f t="shared" si="43"/>
        <v>24.335569568755091</v>
      </c>
      <c r="BM48" s="2">
        <f t="shared" si="27"/>
        <v>181.5709825061025</v>
      </c>
      <c r="BN48" s="2">
        <f t="shared" si="44"/>
        <v>211.85108167330679</v>
      </c>
      <c r="BO48" s="2">
        <f t="shared" si="45"/>
        <v>333.02758167330677</v>
      </c>
      <c r="BP48" s="2">
        <f t="shared" si="28"/>
        <v>11.114342629481996</v>
      </c>
      <c r="BQ48" s="2">
        <f t="shared" si="46"/>
        <v>340.86819365337675</v>
      </c>
      <c r="BR48" s="2">
        <f t="shared" si="47"/>
        <v>349.18747558991049</v>
      </c>
      <c r="BS48" s="2">
        <f t="shared" si="29"/>
        <v>13.081773799837322</v>
      </c>
      <c r="BT48" s="18">
        <f t="shared" si="30"/>
        <v>0.85107789036112058</v>
      </c>
      <c r="BU48" s="18">
        <f t="shared" si="31"/>
        <v>0.70716030825536769</v>
      </c>
      <c r="BV48" s="18">
        <f t="shared" si="48"/>
        <v>0.5989780052873992</v>
      </c>
      <c r="BW48" s="18">
        <f t="shared" si="49"/>
        <v>0.49661339905133495</v>
      </c>
      <c r="BX48" s="34">
        <f t="shared" si="50"/>
        <v>12.184466019417478</v>
      </c>
      <c r="BY48" s="34">
        <f t="shared" si="51"/>
        <v>11.817307692307692</v>
      </c>
      <c r="BZ48" s="34">
        <f t="shared" si="32"/>
        <v>9.9555767095034113</v>
      </c>
      <c r="CA48" s="34">
        <f t="shared" si="33"/>
        <v>9.6437539234149394</v>
      </c>
      <c r="CB48" s="29">
        <v>1.95</v>
      </c>
      <c r="CC48" s="2">
        <v>4990.5</v>
      </c>
      <c r="CD48" s="2">
        <v>4938.2</v>
      </c>
      <c r="CE48">
        <v>4290</v>
      </c>
      <c r="CF48" t="s">
        <v>234</v>
      </c>
      <c r="CG48" t="str">
        <f>IF(CB48&lt;=1.25,"Keskuslik",IF(CB48&lt;=1.75,"Keskus-tagamaaline","Tagamaaline"))</f>
        <v>Tagamaaline</v>
      </c>
    </row>
    <row r="49" spans="1:85" ht="14.25" customHeight="1" x14ac:dyDescent="0.35">
      <c r="A49" t="s">
        <v>123</v>
      </c>
      <c r="B49" s="10" t="s">
        <v>54</v>
      </c>
      <c r="C49" s="11">
        <v>631603.14</v>
      </c>
      <c r="D49" s="11">
        <v>1027.48</v>
      </c>
      <c r="E49" s="11">
        <v>71970.820000000007</v>
      </c>
      <c r="F49" s="11">
        <v>3843215.0100000012</v>
      </c>
      <c r="G49" s="11">
        <v>290307.55999999988</v>
      </c>
      <c r="H49" s="11">
        <v>55873.58</v>
      </c>
      <c r="I49" s="11">
        <v>23477174.030000001</v>
      </c>
      <c r="J49" s="11">
        <v>1549937.2599000002</v>
      </c>
      <c r="K49" s="11">
        <v>2100311.0499999998</v>
      </c>
      <c r="L49" s="12">
        <f t="shared" si="36"/>
        <v>29763023.150000006</v>
      </c>
      <c r="M49" s="11">
        <v>582785.88</v>
      </c>
      <c r="N49" s="11">
        <v>69.8</v>
      </c>
      <c r="O49" s="11">
        <v>65040</v>
      </c>
      <c r="P49" s="11">
        <v>3532512.7399999988</v>
      </c>
      <c r="Q49" s="11">
        <v>286028.38</v>
      </c>
      <c r="R49" s="11">
        <v>83996.800000000003</v>
      </c>
      <c r="S49" s="11">
        <v>23938781.280000001</v>
      </c>
      <c r="T49" s="11">
        <v>1550366.70438</v>
      </c>
      <c r="U49" s="11">
        <v>1775113.09</v>
      </c>
      <c r="V49" s="12">
        <f t="shared" si="37"/>
        <v>29543234.41</v>
      </c>
      <c r="W49" s="11">
        <v>19727431</v>
      </c>
      <c r="X49" s="11">
        <v>966864</v>
      </c>
      <c r="Y49" s="11">
        <v>518374.35000000009</v>
      </c>
      <c r="Z49" s="51">
        <f t="shared" si="18"/>
        <v>21212669.350000001</v>
      </c>
      <c r="AA49" s="11">
        <v>19911471</v>
      </c>
      <c r="AB49" s="11">
        <v>1023481</v>
      </c>
      <c r="AC49" s="11">
        <v>665697.82000000007</v>
      </c>
      <c r="AD49" s="51">
        <f t="shared" si="19"/>
        <v>21600649.82</v>
      </c>
      <c r="AE49" s="2">
        <v>5825</v>
      </c>
      <c r="AF49">
        <v>5782</v>
      </c>
      <c r="AG49">
        <v>5670</v>
      </c>
      <c r="AH49" s="2">
        <f t="shared" si="20"/>
        <v>5810.666666666667</v>
      </c>
      <c r="AI49" s="2">
        <f t="shared" si="21"/>
        <v>5744.6666666666661</v>
      </c>
      <c r="AJ49" s="2">
        <v>327</v>
      </c>
      <c r="AK49" s="2">
        <v>335</v>
      </c>
      <c r="AL49" s="2">
        <v>328</v>
      </c>
      <c r="AM49" s="2">
        <f t="shared" si="22"/>
        <v>329.66666666666669</v>
      </c>
      <c r="AN49" s="2">
        <f t="shared" si="23"/>
        <v>332.66666666666669</v>
      </c>
      <c r="AO49" s="2">
        <v>485.08</v>
      </c>
      <c r="AP49" s="2">
        <v>487.8</v>
      </c>
      <c r="AQ49" s="2">
        <v>13226301.91</v>
      </c>
      <c r="AR49" s="2">
        <v>13266939.09</v>
      </c>
      <c r="AS49" s="2">
        <f t="shared" si="24"/>
        <v>2272.1856721228114</v>
      </c>
      <c r="AT49" s="2">
        <f t="shared" si="25"/>
        <v>2266.4580924559245</v>
      </c>
      <c r="AU49" s="2">
        <f>Alusharidus!AH49*2/3+Alusharidus!AL49*1/3</f>
        <v>136.33333333333331</v>
      </c>
      <c r="AV49" s="2">
        <f>Alusharidus!AL49*2/3+Alusharidus!AP49*1/3</f>
        <v>134.33333333333334</v>
      </c>
      <c r="AW49" s="18">
        <f t="shared" si="53"/>
        <v>2.2924723950451205E-2</v>
      </c>
      <c r="AX49" s="18">
        <f t="shared" si="54"/>
        <v>2.2849690990531274E-2</v>
      </c>
      <c r="AY49" s="37">
        <f>(L49-I49-832890.24+2138724.58)*AW49</f>
        <v>174037.24763970639</v>
      </c>
      <c r="AZ49" s="37">
        <f>(V49-S49-976867.78+2213847.28)*AX49</f>
        <v>156324.62152803765</v>
      </c>
      <c r="BB49" s="41" t="s">
        <v>195</v>
      </c>
      <c r="BD49" s="41" t="s">
        <v>195</v>
      </c>
      <c r="BE49" t="s">
        <v>252</v>
      </c>
      <c r="BF49" s="2">
        <f t="shared" si="38"/>
        <v>424.34869639686059</v>
      </c>
      <c r="BG49" s="2">
        <f t="shared" si="39"/>
        <v>336.69650685520884</v>
      </c>
      <c r="BH49" s="2">
        <f t="shared" si="40"/>
        <v>30.922794716613122</v>
      </c>
      <c r="BI49" s="2">
        <f t="shared" si="26"/>
        <v>56.729394825038625</v>
      </c>
      <c r="BJ49" s="2">
        <f t="shared" si="41"/>
        <v>426.29264518498263</v>
      </c>
      <c r="BK49" s="2">
        <f t="shared" si="42"/>
        <v>347.26095624927478</v>
      </c>
      <c r="BL49" s="2">
        <f t="shared" si="43"/>
        <v>26.968635981199956</v>
      </c>
      <c r="BM49" s="2">
        <f t="shared" si="27"/>
        <v>52.063052954507896</v>
      </c>
      <c r="BN49" s="2">
        <f t="shared" si="44"/>
        <v>120.12844986748932</v>
      </c>
      <c r="BO49" s="2">
        <f t="shared" si="45"/>
        <v>290.35402349128043</v>
      </c>
      <c r="BP49" s="2">
        <f t="shared" si="28"/>
        <v>13.866223038090823</v>
      </c>
      <c r="BQ49" s="2">
        <f t="shared" si="46"/>
        <v>112.9491117626779</v>
      </c>
      <c r="BR49" s="2">
        <f t="shared" si="47"/>
        <v>298.49670447951729</v>
      </c>
      <c r="BS49" s="2">
        <f t="shared" si="29"/>
        <v>14.846828942787454</v>
      </c>
      <c r="BT49" s="18">
        <f t="shared" si="30"/>
        <v>0.79344300975611481</v>
      </c>
      <c r="BU49" s="18">
        <f t="shared" si="31"/>
        <v>0.814606961137194</v>
      </c>
      <c r="BV49" s="18">
        <f t="shared" si="48"/>
        <v>0.68423451269362379</v>
      </c>
      <c r="BW49" s="18">
        <f t="shared" si="49"/>
        <v>0.70021546900015019</v>
      </c>
      <c r="BX49" s="34">
        <f t="shared" si="50"/>
        <v>17.62588473205258</v>
      </c>
      <c r="BY49" s="34">
        <f t="shared" si="51"/>
        <v>17.268537074148295</v>
      </c>
      <c r="BZ49" s="34">
        <f t="shared" si="32"/>
        <v>11.978780132486738</v>
      </c>
      <c r="CA49" s="34">
        <f t="shared" si="33"/>
        <v>11.776684433511001</v>
      </c>
      <c r="CB49" s="29">
        <v>1.1499999999999999</v>
      </c>
      <c r="CC49" s="2">
        <v>1633.3</v>
      </c>
      <c r="CD49" s="2">
        <v>1690.8</v>
      </c>
      <c r="CE49">
        <v>51777</v>
      </c>
      <c r="CF49" t="s">
        <v>234</v>
      </c>
      <c r="CG49" t="s">
        <v>287</v>
      </c>
    </row>
    <row r="50" spans="1:85" ht="14.25" customHeight="1" x14ac:dyDescent="0.35">
      <c r="A50" t="s">
        <v>101</v>
      </c>
      <c r="B50" s="10" t="s">
        <v>55</v>
      </c>
      <c r="C50" s="11">
        <v>169904.13</v>
      </c>
      <c r="D50" s="13"/>
      <c r="E50" s="13"/>
      <c r="F50" s="11">
        <v>1691484.93</v>
      </c>
      <c r="G50" s="11">
        <v>736198.16000000015</v>
      </c>
      <c r="H50" s="11">
        <v>46419.96</v>
      </c>
      <c r="I50" s="11">
        <v>5180496.6900000004</v>
      </c>
      <c r="J50" s="11">
        <v>308640.94230000005</v>
      </c>
      <c r="K50" s="11">
        <v>271399.19</v>
      </c>
      <c r="L50" s="12">
        <f t="shared" si="36"/>
        <v>6577086.7800000003</v>
      </c>
      <c r="M50" s="11">
        <v>196611.22</v>
      </c>
      <c r="N50" s="11">
        <v>40.5</v>
      </c>
      <c r="O50" s="13"/>
      <c r="P50" s="11">
        <v>1816975.45</v>
      </c>
      <c r="Q50" s="11">
        <v>762979.2300000001</v>
      </c>
      <c r="R50" s="11">
        <v>46444.99</v>
      </c>
      <c r="S50" s="11">
        <v>5409101.1999999993</v>
      </c>
      <c r="T50" s="11">
        <v>325066.76550000004</v>
      </c>
      <c r="U50" s="11">
        <v>260110.09</v>
      </c>
      <c r="V50" s="12">
        <f t="shared" si="37"/>
        <v>6919859.2299999986</v>
      </c>
      <c r="W50" s="11">
        <v>4491447</v>
      </c>
      <c r="X50" s="11">
        <v>110262</v>
      </c>
      <c r="Y50" s="11">
        <v>37993.48000000001</v>
      </c>
      <c r="Z50" s="51">
        <f t="shared" si="18"/>
        <v>4639702.4800000004</v>
      </c>
      <c r="AA50" s="11">
        <v>4685810</v>
      </c>
      <c r="AB50" s="11">
        <v>117175</v>
      </c>
      <c r="AC50" s="11">
        <v>172092.38</v>
      </c>
      <c r="AD50" s="51">
        <f t="shared" si="19"/>
        <v>4975077.38</v>
      </c>
      <c r="AE50" s="2">
        <v>1064</v>
      </c>
      <c r="AF50">
        <v>1084</v>
      </c>
      <c r="AG50">
        <v>1099</v>
      </c>
      <c r="AH50" s="2">
        <f t="shared" si="20"/>
        <v>1070.6666666666667</v>
      </c>
      <c r="AI50" s="2">
        <f t="shared" si="21"/>
        <v>1089</v>
      </c>
      <c r="AJ50" s="2">
        <v>75</v>
      </c>
      <c r="AK50" s="2">
        <v>75</v>
      </c>
      <c r="AL50" s="2">
        <v>76</v>
      </c>
      <c r="AM50" s="2">
        <f t="shared" si="22"/>
        <v>75</v>
      </c>
      <c r="AN50" s="2">
        <f t="shared" si="23"/>
        <v>75.333333333333329</v>
      </c>
      <c r="AO50" s="2">
        <v>102.88</v>
      </c>
      <c r="AP50" s="2">
        <v>105.97</v>
      </c>
      <c r="AQ50" s="2">
        <v>2721261.81</v>
      </c>
      <c r="AR50" s="2">
        <v>2774201.83</v>
      </c>
      <c r="AS50" s="2">
        <f t="shared" si="24"/>
        <v>2204.2361732115087</v>
      </c>
      <c r="AT50" s="2">
        <f t="shared" si="25"/>
        <v>2181.5937136296438</v>
      </c>
      <c r="AU50" s="2">
        <f>Alusharidus!AH50*2/3+Alusharidus!AL50*1/3</f>
        <v>198</v>
      </c>
      <c r="AV50" s="2">
        <f>Alusharidus!AL50*2/3+Alusharidus!AP50*1/3</f>
        <v>200.66666666666666</v>
      </c>
      <c r="AW50" s="36">
        <f>-194/Alusharidus!AS50</f>
        <v>-0.28115942028985508</v>
      </c>
      <c r="AX50" s="36">
        <f>-203/Alusharidus!AT50</f>
        <v>-0.30238331678252239</v>
      </c>
      <c r="AY50" s="40">
        <f>AW50*(Alusharidus!E50-602517.57-Alusharidus!F50+Alusharidus!C50+Alusharidus!D50+Alusharidus!I50)</f>
        <v>-210870.15002898552</v>
      </c>
      <c r="AZ50" s="40">
        <f>AX50*(Alusharidus!L50-626206.59+Alusharidus!M50+Alusharidus!N50-Alusharidus!O50+Alusharidus!R50)</f>
        <v>-205456.81505958299</v>
      </c>
      <c r="BE50" t="s">
        <v>205</v>
      </c>
      <c r="BF50" s="2">
        <f t="shared" si="38"/>
        <v>528.32790551284131</v>
      </c>
      <c r="BG50" s="2">
        <f t="shared" si="39"/>
        <v>403.21425046699875</v>
      </c>
      <c r="BH50" s="2">
        <f t="shared" si="40"/>
        <v>24.736857876712332</v>
      </c>
      <c r="BI50" s="2">
        <f t="shared" si="26"/>
        <v>100.37679716913023</v>
      </c>
      <c r="BJ50" s="2">
        <f t="shared" si="41"/>
        <v>545.24916169724372</v>
      </c>
      <c r="BK50" s="2">
        <f t="shared" si="42"/>
        <v>413.91958983777158</v>
      </c>
      <c r="BL50" s="2">
        <f t="shared" si="43"/>
        <v>23.458454239363331</v>
      </c>
      <c r="BM50" s="2">
        <f t="shared" si="27"/>
        <v>107.87111762010881</v>
      </c>
      <c r="BN50" s="2">
        <f t="shared" si="44"/>
        <v>167.20535881296587</v>
      </c>
      <c r="BO50" s="2">
        <f t="shared" si="45"/>
        <v>352.54051058530513</v>
      </c>
      <c r="BP50" s="2">
        <f t="shared" si="28"/>
        <v>8.5820361145703146</v>
      </c>
      <c r="BQ50" s="2">
        <f t="shared" si="46"/>
        <v>164.54229147991899</v>
      </c>
      <c r="BR50" s="2">
        <f t="shared" si="47"/>
        <v>371.74031068258341</v>
      </c>
      <c r="BS50" s="2">
        <f t="shared" si="29"/>
        <v>8.96655953474135</v>
      </c>
      <c r="BT50" s="18">
        <f t="shared" si="30"/>
        <v>0.76318938723405816</v>
      </c>
      <c r="BU50" s="18">
        <f t="shared" si="31"/>
        <v>0.75913842498964812</v>
      </c>
      <c r="BV50" s="18">
        <f t="shared" si="48"/>
        <v>0.66727596045319315</v>
      </c>
      <c r="BW50" s="18">
        <f t="shared" si="49"/>
        <v>0.6817806184707107</v>
      </c>
      <c r="BX50" s="34">
        <f t="shared" si="50"/>
        <v>14.275555555555556</v>
      </c>
      <c r="BY50" s="34">
        <f t="shared" si="51"/>
        <v>14.455752212389381</v>
      </c>
      <c r="BZ50" s="34">
        <f t="shared" si="32"/>
        <v>10.40694660445827</v>
      </c>
      <c r="CA50" s="34">
        <f t="shared" si="33"/>
        <v>10.276493347173728</v>
      </c>
      <c r="CB50" s="29">
        <v>1.41</v>
      </c>
      <c r="CC50" s="2">
        <v>3411.7</v>
      </c>
      <c r="CD50" s="2">
        <v>4336</v>
      </c>
      <c r="CE50">
        <v>12583</v>
      </c>
      <c r="CF50" t="s">
        <v>234</v>
      </c>
      <c r="CG50" t="str">
        <f t="shared" ref="CG50:CG59" si="55">IF(CB50&lt;=1.25,"Keskuslik",IF(CB50&lt;=1.75,"Keskus-tagamaaline","Tagamaaline"))</f>
        <v>Keskus-tagamaaline</v>
      </c>
    </row>
    <row r="51" spans="1:85" ht="14.25" customHeight="1" x14ac:dyDescent="0.35">
      <c r="A51" t="s">
        <v>122</v>
      </c>
      <c r="B51" s="10" t="s">
        <v>56</v>
      </c>
      <c r="C51" s="11">
        <v>128636.95</v>
      </c>
      <c r="D51" s="11">
        <v>38</v>
      </c>
      <c r="E51" s="11">
        <v>100</v>
      </c>
      <c r="F51" s="11">
        <v>871860.51000000024</v>
      </c>
      <c r="G51" s="11">
        <v>159796.66</v>
      </c>
      <c r="H51" s="11">
        <v>1334.43</v>
      </c>
      <c r="I51" s="11">
        <v>4409904.419999999</v>
      </c>
      <c r="J51" s="11">
        <v>264015.72546000005</v>
      </c>
      <c r="K51" s="11">
        <v>170101.3</v>
      </c>
      <c r="L51" s="12">
        <f t="shared" si="36"/>
        <v>5420744.5199999986</v>
      </c>
      <c r="M51" s="11">
        <v>153000.37</v>
      </c>
      <c r="N51" s="11">
        <v>199.18</v>
      </c>
      <c r="O51" s="11">
        <v>60</v>
      </c>
      <c r="P51" s="11">
        <v>979737.34999999974</v>
      </c>
      <c r="Q51" s="11">
        <v>158479.67000000001</v>
      </c>
      <c r="R51" s="11"/>
      <c r="S51" s="11">
        <v>4559847.4899999993</v>
      </c>
      <c r="T51" s="11">
        <v>249409.44846000004</v>
      </c>
      <c r="U51" s="11">
        <v>408821.57</v>
      </c>
      <c r="V51" s="12">
        <f t="shared" si="37"/>
        <v>5943126.2899999991</v>
      </c>
      <c r="W51" s="11">
        <v>3129187</v>
      </c>
      <c r="X51" s="11">
        <v>49264</v>
      </c>
      <c r="Y51" s="11">
        <v>203020.94</v>
      </c>
      <c r="Z51" s="51">
        <f t="shared" si="18"/>
        <v>3381471.94</v>
      </c>
      <c r="AA51" s="11">
        <v>3040639</v>
      </c>
      <c r="AB51" s="11">
        <v>38718</v>
      </c>
      <c r="AC51" s="11">
        <v>202579.7</v>
      </c>
      <c r="AD51" s="51">
        <f t="shared" si="19"/>
        <v>3281936.7</v>
      </c>
      <c r="AE51" s="2">
        <v>757</v>
      </c>
      <c r="AF51">
        <v>721</v>
      </c>
      <c r="AG51">
        <v>722</v>
      </c>
      <c r="AH51" s="2">
        <f t="shared" si="20"/>
        <v>745</v>
      </c>
      <c r="AI51" s="2">
        <f t="shared" si="21"/>
        <v>721.33333333333337</v>
      </c>
      <c r="AJ51" s="2">
        <v>73</v>
      </c>
      <c r="AK51" s="2">
        <v>79</v>
      </c>
      <c r="AL51" s="2">
        <v>80</v>
      </c>
      <c r="AM51" s="2">
        <f t="shared" si="22"/>
        <v>75</v>
      </c>
      <c r="AN51" s="2">
        <f t="shared" si="23"/>
        <v>79.333333333333329</v>
      </c>
      <c r="AO51" s="2">
        <v>92.82</v>
      </c>
      <c r="AP51" s="2">
        <v>95.61999999999999</v>
      </c>
      <c r="AQ51" s="2">
        <v>2104596.67</v>
      </c>
      <c r="AR51" s="2">
        <v>2179337.5299999998</v>
      </c>
      <c r="AS51" s="2">
        <f t="shared" si="24"/>
        <v>1889.496399841988</v>
      </c>
      <c r="AT51" s="2">
        <f t="shared" si="25"/>
        <v>1899.3041291919405</v>
      </c>
      <c r="AU51" s="2">
        <f>Alusharidus!AH51*2/3+Alusharidus!AL51*1/3</f>
        <v>61.666666666666671</v>
      </c>
      <c r="AV51" s="2">
        <f>Alusharidus!AL51*2/3+Alusharidus!AP51*1/3</f>
        <v>62.666666666666664</v>
      </c>
      <c r="AW51" s="18">
        <f t="shared" ref="AW51:AW83" si="56">AU51/(AH51+AU51)</f>
        <v>7.6446280991735546E-2</v>
      </c>
      <c r="AX51" s="18">
        <f t="shared" ref="AX51:AX83" si="57">AV51/(AI51+AV51)</f>
        <v>7.9931972789115638E-2</v>
      </c>
      <c r="AY51" s="40">
        <f>(L51-I51)*AW51</f>
        <v>77274.966322314023</v>
      </c>
      <c r="AZ51" s="40">
        <f>(V51-S51)*AX51</f>
        <v>110568.20340136052</v>
      </c>
      <c r="BB51" s="41" t="s">
        <v>195</v>
      </c>
      <c r="BF51" s="2">
        <f t="shared" si="38"/>
        <v>597.70352949414814</v>
      </c>
      <c r="BG51" s="2">
        <f t="shared" si="39"/>
        <v>493.27789932885895</v>
      </c>
      <c r="BH51" s="2">
        <f t="shared" si="40"/>
        <v>19.17625615212528</v>
      </c>
      <c r="BI51" s="2">
        <f t="shared" si="26"/>
        <v>85.249374013163916</v>
      </c>
      <c r="BJ51" s="2">
        <f t="shared" si="41"/>
        <v>673.81678449614583</v>
      </c>
      <c r="BK51" s="2">
        <f t="shared" si="42"/>
        <v>526.78459912199617</v>
      </c>
      <c r="BL51" s="2">
        <f t="shared" si="43"/>
        <v>47.229848659889093</v>
      </c>
      <c r="BM51" s="2">
        <f t="shared" si="27"/>
        <v>99.802336714260576</v>
      </c>
      <c r="BN51" s="2">
        <f t="shared" si="44"/>
        <v>219.46282032188867</v>
      </c>
      <c r="BO51" s="2">
        <f t="shared" si="45"/>
        <v>372.73019463087252</v>
      </c>
      <c r="BP51" s="2">
        <f t="shared" si="28"/>
        <v>5.5105145413869536</v>
      </c>
      <c r="BQ51" s="2">
        <f t="shared" si="46"/>
        <v>294.66513246287406</v>
      </c>
      <c r="BR51" s="2">
        <f t="shared" si="47"/>
        <v>374.67868530499072</v>
      </c>
      <c r="BS51" s="2">
        <f t="shared" si="29"/>
        <v>4.472966728281051</v>
      </c>
      <c r="BT51" s="18">
        <f t="shared" si="30"/>
        <v>0.82528858370023794</v>
      </c>
      <c r="BU51" s="18">
        <f t="shared" si="31"/>
        <v>0.78179204086746723</v>
      </c>
      <c r="BV51" s="18">
        <f t="shared" si="48"/>
        <v>0.62360380395665993</v>
      </c>
      <c r="BW51" s="18">
        <f t="shared" si="49"/>
        <v>0.55605424786970992</v>
      </c>
      <c r="BX51" s="34">
        <f t="shared" si="50"/>
        <v>9.9333333333333336</v>
      </c>
      <c r="BY51" s="34">
        <f t="shared" si="51"/>
        <v>9.0924369747899174</v>
      </c>
      <c r="BZ51" s="34">
        <f t="shared" si="32"/>
        <v>8.0262874380521438</v>
      </c>
      <c r="CA51" s="34">
        <f t="shared" si="33"/>
        <v>7.5437495642473689</v>
      </c>
      <c r="CB51" s="29">
        <v>1.86</v>
      </c>
      <c r="CC51" s="2">
        <v>3441</v>
      </c>
      <c r="CD51" s="2">
        <v>4284.7</v>
      </c>
      <c r="CE51">
        <v>7847</v>
      </c>
      <c r="CF51" t="s">
        <v>234</v>
      </c>
      <c r="CG51" t="str">
        <f t="shared" si="55"/>
        <v>Tagamaaline</v>
      </c>
    </row>
    <row r="52" spans="1:85" ht="14.25" customHeight="1" x14ac:dyDescent="0.35">
      <c r="A52" t="s">
        <v>136</v>
      </c>
      <c r="B52" s="10" t="s">
        <v>57</v>
      </c>
      <c r="C52" s="11">
        <v>69029.48</v>
      </c>
      <c r="D52" s="13"/>
      <c r="E52" s="11">
        <v>6536</v>
      </c>
      <c r="F52" s="11">
        <v>522685.4499999999</v>
      </c>
      <c r="G52" s="11">
        <v>86896.8</v>
      </c>
      <c r="H52" s="11"/>
      <c r="I52" s="11">
        <v>2020508.84</v>
      </c>
      <c r="J52" s="11">
        <v>138156.04631999999</v>
      </c>
      <c r="K52" s="11">
        <v>118768.19</v>
      </c>
      <c r="L52" s="12">
        <f t="shared" si="36"/>
        <v>2644095.16</v>
      </c>
      <c r="M52" s="11">
        <v>192977.29</v>
      </c>
      <c r="N52" s="13"/>
      <c r="O52" s="11">
        <v>7120</v>
      </c>
      <c r="P52" s="11">
        <v>656985.25</v>
      </c>
      <c r="Q52" s="11">
        <v>117757.26</v>
      </c>
      <c r="R52" s="11"/>
      <c r="S52" s="11">
        <v>1925892.46</v>
      </c>
      <c r="T52" s="11">
        <v>132976.30044000002</v>
      </c>
      <c r="U52" s="11">
        <v>833934.43000000017</v>
      </c>
      <c r="V52" s="12">
        <f t="shared" si="37"/>
        <v>3492032.1700000004</v>
      </c>
      <c r="W52" s="11">
        <v>1975864</v>
      </c>
      <c r="X52" s="11">
        <v>21624</v>
      </c>
      <c r="Y52" s="11">
        <v>80645.2</v>
      </c>
      <c r="Z52" s="51">
        <f t="shared" si="18"/>
        <v>2078133.2</v>
      </c>
      <c r="AA52" s="11">
        <v>1780461</v>
      </c>
      <c r="AB52" s="11">
        <v>26923</v>
      </c>
      <c r="AC52" s="11">
        <v>260855.39</v>
      </c>
      <c r="AD52" s="51">
        <f t="shared" si="19"/>
        <v>2068239.3900000001</v>
      </c>
      <c r="AE52" s="2">
        <v>450</v>
      </c>
      <c r="AF52">
        <v>388</v>
      </c>
      <c r="AG52">
        <v>394</v>
      </c>
      <c r="AH52" s="2">
        <f t="shared" si="20"/>
        <v>429.33333333333337</v>
      </c>
      <c r="AI52" s="2">
        <f t="shared" si="21"/>
        <v>390</v>
      </c>
      <c r="AJ52" s="2">
        <v>38</v>
      </c>
      <c r="AK52" s="2">
        <v>38</v>
      </c>
      <c r="AL52" s="2">
        <v>41</v>
      </c>
      <c r="AM52" s="2">
        <f t="shared" si="22"/>
        <v>38</v>
      </c>
      <c r="AN52" s="2">
        <f t="shared" si="23"/>
        <v>39</v>
      </c>
      <c r="AO52" s="2">
        <v>45.35</v>
      </c>
      <c r="AP52" s="2">
        <v>37.900000000000013</v>
      </c>
      <c r="AQ52" s="2">
        <v>1093038.0800000001</v>
      </c>
      <c r="AR52" s="2">
        <v>946041.22</v>
      </c>
      <c r="AS52" s="2">
        <f t="shared" si="24"/>
        <v>2008.5227489893423</v>
      </c>
      <c r="AT52" s="2">
        <f t="shared" si="25"/>
        <v>2080.1258135444145</v>
      </c>
      <c r="AU52" s="2">
        <f>Alusharidus!AH52*2/3+Alusharidus!AL52*1/3</f>
        <v>68.666666666666671</v>
      </c>
      <c r="AV52" s="2">
        <f>Alusharidus!AL52*2/3+Alusharidus!AP52*1/3</f>
        <v>0</v>
      </c>
      <c r="AW52" s="18">
        <f t="shared" si="56"/>
        <v>0.13788487282463185</v>
      </c>
      <c r="AX52" s="18">
        <f t="shared" si="57"/>
        <v>0</v>
      </c>
      <c r="AY52" s="2">
        <f>L52*AW52</f>
        <v>364580.72487282462</v>
      </c>
      <c r="AZ52" s="40"/>
      <c r="BF52" s="2">
        <f t="shared" si="38"/>
        <v>442.45233601070953</v>
      </c>
      <c r="BG52" s="2">
        <f t="shared" si="39"/>
        <v>392.17951086956515</v>
      </c>
      <c r="BH52" s="2">
        <f t="shared" si="40"/>
        <v>23.05283190993789</v>
      </c>
      <c r="BI52" s="2">
        <f t="shared" si="26"/>
        <v>27.219993231206491</v>
      </c>
      <c r="BJ52" s="2">
        <f t="shared" si="41"/>
        <v>746.16072008547019</v>
      </c>
      <c r="BK52" s="2">
        <f t="shared" si="42"/>
        <v>411.51548290598294</v>
      </c>
      <c r="BL52" s="2">
        <f t="shared" si="43"/>
        <v>178.19111752136757</v>
      </c>
      <c r="BM52" s="2">
        <f t="shared" si="27"/>
        <v>156.45411965811968</v>
      </c>
      <c r="BN52" s="2">
        <f t="shared" si="44"/>
        <v>39.08797265667225</v>
      </c>
      <c r="BO52" s="2">
        <f t="shared" si="45"/>
        <v>399.16715838509316</v>
      </c>
      <c r="BP52" s="2">
        <f t="shared" si="28"/>
        <v>4.1972049689441064</v>
      </c>
      <c r="BQ52" s="2">
        <f t="shared" si="46"/>
        <v>304.22922649572655</v>
      </c>
      <c r="BR52" s="2">
        <f t="shared" si="47"/>
        <v>436.17871581196579</v>
      </c>
      <c r="BS52" s="2">
        <f t="shared" si="29"/>
        <v>5.752777777777851</v>
      </c>
      <c r="BT52" s="18">
        <f t="shared" si="30"/>
        <v>0.88637685678321854</v>
      </c>
      <c r="BU52" s="18">
        <f t="shared" si="31"/>
        <v>0.55151051486447211</v>
      </c>
      <c r="BV52" s="18">
        <f t="shared" si="48"/>
        <v>0.90216985174970654</v>
      </c>
      <c r="BW52" s="18">
        <f t="shared" si="49"/>
        <v>0.58456402765613691</v>
      </c>
      <c r="BX52" s="34">
        <f t="shared" si="50"/>
        <v>11.298245614035089</v>
      </c>
      <c r="BY52" s="34">
        <f t="shared" si="51"/>
        <v>10</v>
      </c>
      <c r="BZ52" s="34">
        <f t="shared" si="32"/>
        <v>9.4671076809996322</v>
      </c>
      <c r="CA52" s="34">
        <f t="shared" si="33"/>
        <v>10.290237467018466</v>
      </c>
      <c r="CB52" s="29">
        <v>1.95</v>
      </c>
      <c r="CC52" s="2">
        <v>5110.8</v>
      </c>
      <c r="CD52" s="2">
        <v>13509.6</v>
      </c>
      <c r="CE52">
        <v>5090</v>
      </c>
      <c r="CF52" t="s">
        <v>234</v>
      </c>
      <c r="CG52" t="str">
        <f t="shared" si="55"/>
        <v>Tagamaaline</v>
      </c>
    </row>
    <row r="53" spans="1:85" ht="14.25" customHeight="1" x14ac:dyDescent="0.35">
      <c r="A53" t="s">
        <v>150</v>
      </c>
      <c r="B53" s="10" t="s">
        <v>58</v>
      </c>
      <c r="C53" s="11">
        <v>66092.649999999994</v>
      </c>
      <c r="D53" s="13"/>
      <c r="E53" s="11">
        <v>3410.86</v>
      </c>
      <c r="F53" s="11">
        <v>623745.91999999993</v>
      </c>
      <c r="G53" s="11">
        <v>173092.43</v>
      </c>
      <c r="H53" s="11"/>
      <c r="I53" s="11">
        <v>2204355.37</v>
      </c>
      <c r="J53" s="11">
        <v>140890.06200000001</v>
      </c>
      <c r="K53" s="11">
        <v>127942.08</v>
      </c>
      <c r="L53" s="12">
        <f t="shared" si="36"/>
        <v>2849043.59</v>
      </c>
      <c r="M53" s="11">
        <v>88064.790000000008</v>
      </c>
      <c r="N53" s="13"/>
      <c r="O53" s="13"/>
      <c r="P53" s="11">
        <v>673385.82999999984</v>
      </c>
      <c r="Q53" s="11">
        <v>157365.63</v>
      </c>
      <c r="R53" s="11"/>
      <c r="S53" s="11">
        <v>2305279.79</v>
      </c>
      <c r="T53" s="11">
        <v>148509.98538</v>
      </c>
      <c r="U53" s="11">
        <v>130490.63</v>
      </c>
      <c r="V53" s="12">
        <f t="shared" si="37"/>
        <v>3039855.41</v>
      </c>
      <c r="W53" s="11">
        <v>1653472</v>
      </c>
      <c r="X53" s="11">
        <v>23664</v>
      </c>
      <c r="Y53" s="11">
        <v>74795.38</v>
      </c>
      <c r="Z53" s="51">
        <f t="shared" si="18"/>
        <v>1751931.38</v>
      </c>
      <c r="AA53" s="11">
        <v>1759892</v>
      </c>
      <c r="AB53" s="11">
        <v>42728</v>
      </c>
      <c r="AC53" s="11">
        <v>215193.74</v>
      </c>
      <c r="AD53" s="51">
        <f t="shared" si="19"/>
        <v>2017813.74</v>
      </c>
      <c r="AE53" s="2">
        <v>362</v>
      </c>
      <c r="AF53">
        <v>386</v>
      </c>
      <c r="AG53">
        <v>403</v>
      </c>
      <c r="AH53" s="2">
        <f t="shared" si="20"/>
        <v>370</v>
      </c>
      <c r="AI53" s="2">
        <f t="shared" si="21"/>
        <v>391.66666666666663</v>
      </c>
      <c r="AJ53" s="2">
        <v>39</v>
      </c>
      <c r="AK53" s="2">
        <v>39</v>
      </c>
      <c r="AL53" s="2">
        <v>36</v>
      </c>
      <c r="AM53" s="2">
        <f t="shared" si="22"/>
        <v>39</v>
      </c>
      <c r="AN53" s="2">
        <f t="shared" si="23"/>
        <v>38</v>
      </c>
      <c r="AO53" s="2">
        <v>45.27</v>
      </c>
      <c r="AP53" s="2">
        <v>46.04</v>
      </c>
      <c r="AQ53" s="2">
        <v>1099295.52</v>
      </c>
      <c r="AR53" s="2">
        <v>1140002.1599999999</v>
      </c>
      <c r="AS53" s="2">
        <f t="shared" si="24"/>
        <v>2023.5908990501437</v>
      </c>
      <c r="AT53" s="2">
        <f t="shared" si="25"/>
        <v>2063.4270199826237</v>
      </c>
      <c r="AU53" s="2">
        <f>Alusharidus!AH53*2/3+Alusharidus!AL53*1/3</f>
        <v>34.666666666666664</v>
      </c>
      <c r="AV53" s="2">
        <f>Alusharidus!AL53*2/3+Alusharidus!AP53*1/3</f>
        <v>100</v>
      </c>
      <c r="AW53" s="18">
        <f t="shared" si="56"/>
        <v>8.5667215815485989E-2</v>
      </c>
      <c r="AX53" s="18">
        <f t="shared" si="57"/>
        <v>0.20338983050847459</v>
      </c>
      <c r="AY53" s="40"/>
      <c r="AZ53" s="40"/>
      <c r="BA53" s="25" t="s">
        <v>195</v>
      </c>
      <c r="BF53" s="2">
        <f t="shared" si="38"/>
        <v>641.67648423423418</v>
      </c>
      <c r="BG53" s="2">
        <f t="shared" si="39"/>
        <v>496.47643468468476</v>
      </c>
      <c r="BH53" s="2">
        <f t="shared" si="40"/>
        <v>28.815783783783786</v>
      </c>
      <c r="BI53" s="2">
        <f t="shared" si="26"/>
        <v>116.38426576576563</v>
      </c>
      <c r="BJ53" s="2">
        <f t="shared" si="41"/>
        <v>646.77774680851076</v>
      </c>
      <c r="BK53" s="2">
        <f t="shared" si="42"/>
        <v>490.48506170212772</v>
      </c>
      <c r="BL53" s="2">
        <f t="shared" si="43"/>
        <v>27.76396382978724</v>
      </c>
      <c r="BM53" s="2">
        <f t="shared" si="27"/>
        <v>128.5287212765958</v>
      </c>
      <c r="BN53" s="2">
        <f t="shared" si="44"/>
        <v>247.09734459459457</v>
      </c>
      <c r="BO53" s="2">
        <f t="shared" si="45"/>
        <v>389.2494099099099</v>
      </c>
      <c r="BP53" s="2">
        <f t="shared" si="28"/>
        <v>5.3297297297297064</v>
      </c>
      <c r="BQ53" s="2">
        <f t="shared" si="46"/>
        <v>217.45567446808516</v>
      </c>
      <c r="BR53" s="2">
        <f t="shared" si="47"/>
        <v>420.23100851063833</v>
      </c>
      <c r="BS53" s="2">
        <f t="shared" si="29"/>
        <v>9.0910638297872879</v>
      </c>
      <c r="BT53" s="18">
        <f t="shared" si="30"/>
        <v>0.77371767063767549</v>
      </c>
      <c r="BU53" s="18">
        <f t="shared" si="31"/>
        <v>0.75835178950172499</v>
      </c>
      <c r="BV53" s="18">
        <f t="shared" si="48"/>
        <v>0.60661317575699147</v>
      </c>
      <c r="BW53" s="18">
        <f t="shared" si="49"/>
        <v>0.64973015936965239</v>
      </c>
      <c r="BX53" s="34">
        <f t="shared" si="50"/>
        <v>9.4871794871794872</v>
      </c>
      <c r="BY53" s="34">
        <f t="shared" si="51"/>
        <v>10.307017543859649</v>
      </c>
      <c r="BZ53" s="34">
        <f t="shared" si="32"/>
        <v>8.1731831234813335</v>
      </c>
      <c r="CA53" s="34">
        <f t="shared" si="33"/>
        <v>8.50709527946713</v>
      </c>
      <c r="CB53" s="29">
        <v>2.08</v>
      </c>
      <c r="CC53" s="2">
        <v>5154.2</v>
      </c>
      <c r="CD53" s="2">
        <v>4600.1000000000004</v>
      </c>
      <c r="CE53">
        <v>4750</v>
      </c>
      <c r="CF53" t="s">
        <v>234</v>
      </c>
      <c r="CG53" t="str">
        <f t="shared" si="55"/>
        <v>Tagamaaline</v>
      </c>
    </row>
    <row r="54" spans="1:85" ht="14.25" customHeight="1" x14ac:dyDescent="0.35">
      <c r="A54" t="s">
        <v>119</v>
      </c>
      <c r="B54" s="10" t="s">
        <v>59</v>
      </c>
      <c r="C54" s="11">
        <v>176250.03</v>
      </c>
      <c r="D54" s="11">
        <v>1105</v>
      </c>
      <c r="E54" s="11">
        <v>18108</v>
      </c>
      <c r="F54" s="11">
        <v>1154303.18</v>
      </c>
      <c r="G54" s="11">
        <v>198931.58</v>
      </c>
      <c r="H54" s="11">
        <v>26288.75</v>
      </c>
      <c r="I54" s="11">
        <v>6474289.0099999988</v>
      </c>
      <c r="J54" s="11">
        <v>344684.40108000004</v>
      </c>
      <c r="K54" s="11">
        <v>501768</v>
      </c>
      <c r="L54" s="12">
        <f t="shared" si="36"/>
        <v>8108783.6399999987</v>
      </c>
      <c r="M54" s="11">
        <v>231148.79</v>
      </c>
      <c r="N54" s="11">
        <v>95</v>
      </c>
      <c r="O54" s="11">
        <v>110167.8</v>
      </c>
      <c r="P54" s="11">
        <v>1290361.8800000011</v>
      </c>
      <c r="Q54" s="11">
        <v>165083.15</v>
      </c>
      <c r="R54" s="11">
        <v>8941.94</v>
      </c>
      <c r="S54" s="11">
        <v>6441832.9399999967</v>
      </c>
      <c r="T54" s="11">
        <v>300704.70234000002</v>
      </c>
      <c r="U54" s="11">
        <f>1335763.18</f>
        <v>1335763.18</v>
      </c>
      <c r="V54" s="12">
        <f t="shared" si="37"/>
        <v>9134118.6399999969</v>
      </c>
      <c r="W54" s="11">
        <v>4811779</v>
      </c>
      <c r="X54" s="11">
        <v>182387.4</v>
      </c>
      <c r="Y54" s="11">
        <v>174888.97</v>
      </c>
      <c r="Z54" s="51">
        <f t="shared" si="18"/>
        <v>5169055.37</v>
      </c>
      <c r="AA54" s="11">
        <v>4598697</v>
      </c>
      <c r="AB54" s="11">
        <v>180373</v>
      </c>
      <c r="AC54" s="11">
        <v>293657.98</v>
      </c>
      <c r="AD54" s="51">
        <f t="shared" si="19"/>
        <v>5072727.9800000004</v>
      </c>
      <c r="AE54" s="2">
        <v>1163</v>
      </c>
      <c r="AF54">
        <v>1091</v>
      </c>
      <c r="AG54">
        <v>1091</v>
      </c>
      <c r="AH54" s="2">
        <f t="shared" si="20"/>
        <v>1139</v>
      </c>
      <c r="AI54" s="2">
        <f t="shared" si="21"/>
        <v>1091</v>
      </c>
      <c r="AJ54" s="2">
        <v>96</v>
      </c>
      <c r="AK54" s="2">
        <v>89</v>
      </c>
      <c r="AL54" s="2">
        <v>94</v>
      </c>
      <c r="AM54" s="2">
        <f t="shared" si="22"/>
        <v>93.666666666666671</v>
      </c>
      <c r="AN54" s="2">
        <f t="shared" si="23"/>
        <v>90.666666666666671</v>
      </c>
      <c r="AO54" s="2">
        <v>115.77</v>
      </c>
      <c r="AP54" s="2">
        <v>117.76</v>
      </c>
      <c r="AQ54" s="2">
        <v>3206247.21</v>
      </c>
      <c r="AR54" s="2">
        <v>3000343.31</v>
      </c>
      <c r="AS54" s="2">
        <f t="shared" si="24"/>
        <v>2307.9145504016583</v>
      </c>
      <c r="AT54" s="2">
        <f t="shared" si="25"/>
        <v>2123.2049012115035</v>
      </c>
      <c r="AU54" s="2">
        <f>Alusharidus!AH54*2/3+Alusharidus!AL54*1/3</f>
        <v>4</v>
      </c>
      <c r="AV54" s="2">
        <f>Alusharidus!AL54*2/3+Alusharidus!AP54*1/3</f>
        <v>4</v>
      </c>
      <c r="AW54" s="18">
        <f t="shared" si="56"/>
        <v>3.499562554680665E-3</v>
      </c>
      <c r="AX54" s="18">
        <f t="shared" si="57"/>
        <v>3.6529680365296802E-3</v>
      </c>
      <c r="AY54" s="2">
        <f>L54*AW54</f>
        <v>28377.195590551179</v>
      </c>
      <c r="AZ54" s="2">
        <f>V54*AX54</f>
        <v>33366.643433789941</v>
      </c>
      <c r="BF54" s="2">
        <f t="shared" si="38"/>
        <v>591.19157480314959</v>
      </c>
      <c r="BG54" s="2">
        <f t="shared" si="39"/>
        <v>473.68225124378097</v>
      </c>
      <c r="BH54" s="2">
        <f t="shared" si="40"/>
        <v>38.634529558091891</v>
      </c>
      <c r="BI54" s="2">
        <f t="shared" si="26"/>
        <v>78.87479400127674</v>
      </c>
      <c r="BJ54" s="2">
        <f t="shared" si="41"/>
        <v>695.13840487062373</v>
      </c>
      <c r="BK54" s="2">
        <f t="shared" si="42"/>
        <v>492.04345707302144</v>
      </c>
      <c r="BL54" s="2">
        <f t="shared" si="43"/>
        <v>102.7119706691109</v>
      </c>
      <c r="BM54" s="2">
        <f t="shared" si="27"/>
        <v>100.38297712849139</v>
      </c>
      <c r="BN54" s="2">
        <f t="shared" si="44"/>
        <v>213.0049074048469</v>
      </c>
      <c r="BO54" s="2">
        <f t="shared" si="45"/>
        <v>364.84254975124378</v>
      </c>
      <c r="BP54" s="2">
        <f t="shared" si="28"/>
        <v>13.344117647058908</v>
      </c>
      <c r="BQ54" s="2">
        <f t="shared" si="46"/>
        <v>307.67063982326653</v>
      </c>
      <c r="BR54" s="2">
        <f t="shared" si="47"/>
        <v>373.69042010388029</v>
      </c>
      <c r="BS54" s="2">
        <f t="shared" si="29"/>
        <v>13.777344943476919</v>
      </c>
      <c r="BT54" s="18">
        <f t="shared" si="30"/>
        <v>0.8012330882785399</v>
      </c>
      <c r="BU54" s="18">
        <f t="shared" si="31"/>
        <v>0.7078352363003142</v>
      </c>
      <c r="BV54" s="18">
        <f t="shared" si="48"/>
        <v>0.61713083423546122</v>
      </c>
      <c r="BW54" s="18">
        <f t="shared" si="49"/>
        <v>0.5375770026307638</v>
      </c>
      <c r="BX54" s="34">
        <f t="shared" si="50"/>
        <v>12.160142348754448</v>
      </c>
      <c r="BY54" s="34">
        <f t="shared" si="51"/>
        <v>12.033088235294118</v>
      </c>
      <c r="BZ54" s="34">
        <f t="shared" si="32"/>
        <v>9.8384728340675487</v>
      </c>
      <c r="CA54" s="34">
        <f t="shared" si="33"/>
        <v>9.2646059782608692</v>
      </c>
      <c r="CB54" s="29">
        <v>1.49</v>
      </c>
      <c r="CC54" s="2">
        <v>3285.4</v>
      </c>
      <c r="CD54" s="2">
        <v>3412.6</v>
      </c>
      <c r="CE54">
        <v>13183</v>
      </c>
      <c r="CF54" t="s">
        <v>234</v>
      </c>
      <c r="CG54" t="str">
        <f t="shared" si="55"/>
        <v>Keskus-tagamaaline</v>
      </c>
    </row>
    <row r="55" spans="1:85" ht="14.25" customHeight="1" x14ac:dyDescent="0.35">
      <c r="A55" t="s">
        <v>113</v>
      </c>
      <c r="B55" s="10" t="s">
        <v>60</v>
      </c>
      <c r="C55" s="11">
        <v>83138.320000000007</v>
      </c>
      <c r="D55" s="11">
        <v>747.6</v>
      </c>
      <c r="E55" s="13"/>
      <c r="F55" s="11">
        <v>570448.17999999982</v>
      </c>
      <c r="G55" s="11">
        <v>112480.22</v>
      </c>
      <c r="H55" s="11"/>
      <c r="I55" s="11">
        <v>2650483.9500000011</v>
      </c>
      <c r="J55" s="11">
        <v>205523.65056000001</v>
      </c>
      <c r="K55" s="11">
        <v>202803</v>
      </c>
      <c r="L55" s="12">
        <f t="shared" si="36"/>
        <v>3395140.8300000005</v>
      </c>
      <c r="M55" s="11">
        <v>97326.180000000008</v>
      </c>
      <c r="N55" s="13"/>
      <c r="O55" s="13"/>
      <c r="P55" s="11">
        <v>636924.64000000013</v>
      </c>
      <c r="Q55" s="11">
        <v>135165.47</v>
      </c>
      <c r="R55" s="11"/>
      <c r="S55" s="11">
        <v>2697838.209999999</v>
      </c>
      <c r="T55" s="11">
        <v>195172.52130000002</v>
      </c>
      <c r="U55" s="11">
        <v>202424.74</v>
      </c>
      <c r="V55" s="12">
        <f t="shared" si="37"/>
        <v>3499348.2999999993</v>
      </c>
      <c r="W55" s="11">
        <v>2017549</v>
      </c>
      <c r="X55" s="11">
        <v>37536</v>
      </c>
      <c r="Y55" s="11">
        <v>51289.399999999994</v>
      </c>
      <c r="Z55" s="51">
        <f t="shared" si="18"/>
        <v>2106374.4</v>
      </c>
      <c r="AA55" s="11">
        <v>2001213</v>
      </c>
      <c r="AB55" s="11">
        <v>33889.89</v>
      </c>
      <c r="AC55" s="11">
        <v>137704.10999999999</v>
      </c>
      <c r="AD55" s="51">
        <f t="shared" si="19"/>
        <v>2172807</v>
      </c>
      <c r="AE55" s="2">
        <v>513</v>
      </c>
      <c r="AF55">
        <v>504</v>
      </c>
      <c r="AG55">
        <v>481</v>
      </c>
      <c r="AH55" s="2">
        <f t="shared" si="20"/>
        <v>510</v>
      </c>
      <c r="AI55" s="2">
        <f t="shared" si="21"/>
        <v>496.33333333333337</v>
      </c>
      <c r="AJ55" s="2">
        <v>44</v>
      </c>
      <c r="AK55" s="2">
        <v>39</v>
      </c>
      <c r="AL55" s="2">
        <v>40</v>
      </c>
      <c r="AM55" s="2">
        <f t="shared" si="22"/>
        <v>42.333333333333329</v>
      </c>
      <c r="AN55" s="2">
        <f t="shared" si="23"/>
        <v>39.333333333333336</v>
      </c>
      <c r="AO55" s="2">
        <v>59.080000000000013</v>
      </c>
      <c r="AP55" s="2">
        <v>58.61</v>
      </c>
      <c r="AQ55" s="2">
        <v>1369591.77</v>
      </c>
      <c r="AR55" s="2">
        <v>1356418.19</v>
      </c>
      <c r="AS55" s="2">
        <f t="shared" si="24"/>
        <v>1931.8322190250503</v>
      </c>
      <c r="AT55" s="2">
        <f t="shared" si="25"/>
        <v>1928.5932292555308</v>
      </c>
      <c r="AU55" s="2">
        <f>Alusharidus!AH55*2/3+Alusharidus!AL55*1/3</f>
        <v>12.333333333333334</v>
      </c>
      <c r="AV55" s="2">
        <f>Alusharidus!AL55*2/3+Alusharidus!AP55*1/3</f>
        <v>36.333333333333336</v>
      </c>
      <c r="AW55" s="18">
        <f t="shared" si="56"/>
        <v>2.3611997447351627E-2</v>
      </c>
      <c r="AX55" s="18">
        <f t="shared" si="57"/>
        <v>6.8210262828535664E-2</v>
      </c>
      <c r="AY55" s="40">
        <f>L55*AW55</f>
        <v>80166.056611359294</v>
      </c>
      <c r="AZ55" s="40">
        <f>V55*AX55</f>
        <v>238691.46727158941</v>
      </c>
      <c r="BE55" t="s">
        <v>203</v>
      </c>
      <c r="BF55" s="2">
        <f t="shared" si="38"/>
        <v>541.66254467134661</v>
      </c>
      <c r="BG55" s="2">
        <f t="shared" si="39"/>
        <v>433.08561274509822</v>
      </c>
      <c r="BH55" s="2">
        <f t="shared" si="40"/>
        <v>33.137745098039211</v>
      </c>
      <c r="BI55" s="2">
        <f t="shared" si="26"/>
        <v>75.439186828209188</v>
      </c>
      <c r="BJ55" s="2">
        <f t="shared" si="41"/>
        <v>547.45749374217769</v>
      </c>
      <c r="BK55" s="2">
        <f t="shared" si="42"/>
        <v>452.96141873740748</v>
      </c>
      <c r="BL55" s="2">
        <f t="shared" si="43"/>
        <v>33.986692411014097</v>
      </c>
      <c r="BM55" s="2">
        <f t="shared" si="27"/>
        <v>60.509382593756108</v>
      </c>
      <c r="BN55" s="2">
        <f t="shared" si="44"/>
        <v>197.48372114193489</v>
      </c>
      <c r="BO55" s="2">
        <f t="shared" si="45"/>
        <v>338.04549019607845</v>
      </c>
      <c r="BP55" s="2">
        <f t="shared" si="28"/>
        <v>6.1333333333332689</v>
      </c>
      <c r="BQ55" s="2">
        <f t="shared" si="46"/>
        <v>182.64772208334622</v>
      </c>
      <c r="BR55" s="2">
        <f t="shared" si="47"/>
        <v>359.11972968435185</v>
      </c>
      <c r="BS55" s="2">
        <f t="shared" si="29"/>
        <v>5.690041974479584</v>
      </c>
      <c r="BT55" s="18">
        <f t="shared" si="30"/>
        <v>0.79954875411936155</v>
      </c>
      <c r="BU55" s="18">
        <f t="shared" si="31"/>
        <v>0.82739102837219969</v>
      </c>
      <c r="BV55" s="18">
        <f t="shared" si="48"/>
        <v>0.62408873111429053</v>
      </c>
      <c r="BW55" s="18">
        <f t="shared" si="49"/>
        <v>0.65597737502790954</v>
      </c>
      <c r="BX55" s="34">
        <f t="shared" si="50"/>
        <v>12.047244094488191</v>
      </c>
      <c r="BY55" s="34">
        <f t="shared" si="51"/>
        <v>12.618644067796611</v>
      </c>
      <c r="BZ55" s="34">
        <f t="shared" si="32"/>
        <v>8.6323628977657396</v>
      </c>
      <c r="CA55" s="34">
        <f t="shared" si="33"/>
        <v>8.4684069840186549</v>
      </c>
      <c r="CB55" s="29">
        <v>1.84</v>
      </c>
      <c r="CC55" s="2">
        <v>4489.5</v>
      </c>
      <c r="CD55" s="2">
        <v>5618.3</v>
      </c>
      <c r="CE55">
        <v>5870</v>
      </c>
      <c r="CF55" t="s">
        <v>234</v>
      </c>
      <c r="CG55" t="str">
        <f t="shared" si="55"/>
        <v>Tagamaaline</v>
      </c>
    </row>
    <row r="56" spans="1:85" ht="14.25" customHeight="1" x14ac:dyDescent="0.35">
      <c r="A56" t="s">
        <v>148</v>
      </c>
      <c r="B56" s="10" t="s">
        <v>61</v>
      </c>
      <c r="C56" s="11">
        <v>83766.13</v>
      </c>
      <c r="D56" s="13"/>
      <c r="E56" s="13"/>
      <c r="F56" s="11">
        <v>597970.50999999954</v>
      </c>
      <c r="G56" s="11">
        <v>139082.03</v>
      </c>
      <c r="H56" s="11">
        <v>23606.53</v>
      </c>
      <c r="I56" s="11">
        <v>2746600.59</v>
      </c>
      <c r="J56" s="11">
        <v>205225.55754000001</v>
      </c>
      <c r="K56" s="11">
        <v>136544.6</v>
      </c>
      <c r="L56" s="12">
        <f t="shared" si="36"/>
        <v>3425799.8</v>
      </c>
      <c r="M56" s="11">
        <v>109095.67999999999</v>
      </c>
      <c r="N56" s="11">
        <v>43.21</v>
      </c>
      <c r="O56" s="13"/>
      <c r="P56" s="11">
        <v>751114.55</v>
      </c>
      <c r="Q56" s="11">
        <v>144111.66</v>
      </c>
      <c r="R56" s="11">
        <v>25159.97</v>
      </c>
      <c r="S56" s="11">
        <v>2772374.33</v>
      </c>
      <c r="T56" s="11">
        <v>220576.03014000002</v>
      </c>
      <c r="U56" s="11">
        <v>145588.35</v>
      </c>
      <c r="V56" s="12">
        <f t="shared" si="37"/>
        <v>3634104.46</v>
      </c>
      <c r="W56" s="11">
        <v>2248503</v>
      </c>
      <c r="X56" s="11">
        <v>39372</v>
      </c>
      <c r="Y56" s="11">
        <v>24960.47</v>
      </c>
      <c r="Z56" s="51">
        <f t="shared" si="18"/>
        <v>2312835.4700000002</v>
      </c>
      <c r="AA56" s="11">
        <v>2291207</v>
      </c>
      <c r="AB56" s="11">
        <v>50576</v>
      </c>
      <c r="AC56" s="11">
        <v>87576.69</v>
      </c>
      <c r="AD56" s="51">
        <f t="shared" si="19"/>
        <v>2429359.69</v>
      </c>
      <c r="AE56" s="2">
        <v>486</v>
      </c>
      <c r="AF56">
        <v>478</v>
      </c>
      <c r="AG56">
        <v>468</v>
      </c>
      <c r="AH56" s="2">
        <f t="shared" si="20"/>
        <v>483.33333333333337</v>
      </c>
      <c r="AI56" s="2">
        <f t="shared" si="21"/>
        <v>474.66666666666669</v>
      </c>
      <c r="AJ56" s="2">
        <v>37</v>
      </c>
      <c r="AK56" s="2">
        <v>34</v>
      </c>
      <c r="AL56" s="2">
        <v>35</v>
      </c>
      <c r="AM56" s="2">
        <f t="shared" si="22"/>
        <v>36</v>
      </c>
      <c r="AN56" s="2">
        <f t="shared" si="23"/>
        <v>34.333333333333336</v>
      </c>
      <c r="AO56" s="2">
        <v>51.58</v>
      </c>
      <c r="AP56" s="2">
        <v>50.62</v>
      </c>
      <c r="AQ56" s="2">
        <v>1328188.49</v>
      </c>
      <c r="AR56" s="2">
        <v>1325484.83</v>
      </c>
      <c r="AS56" s="2">
        <f t="shared" si="24"/>
        <v>2145.8389718237045</v>
      </c>
      <c r="AT56" s="2">
        <f t="shared" si="25"/>
        <v>2182.0835473462403</v>
      </c>
      <c r="AU56" s="2">
        <f>Alusharidus!AH56*2/3+Alusharidus!AL56*1/3</f>
        <v>12.666666666666666</v>
      </c>
      <c r="AV56" s="2">
        <f>Alusharidus!AL56*2/3+Alusharidus!AP56*1/3</f>
        <v>0</v>
      </c>
      <c r="AW56" s="18">
        <f t="shared" si="56"/>
        <v>2.5537634408602145E-2</v>
      </c>
      <c r="AX56" s="18">
        <f t="shared" si="57"/>
        <v>0</v>
      </c>
      <c r="AY56" s="2">
        <f>L56*AW56</f>
        <v>87486.822849462347</v>
      </c>
      <c r="AZ56" s="40"/>
      <c r="BF56" s="2">
        <f t="shared" si="38"/>
        <v>575.57120295698917</v>
      </c>
      <c r="BG56" s="2">
        <f t="shared" si="39"/>
        <v>473.55182586206888</v>
      </c>
      <c r="BH56" s="2">
        <f t="shared" si="40"/>
        <v>27.612263793103448</v>
      </c>
      <c r="BI56" s="2">
        <f t="shared" si="26"/>
        <v>74.407113301816835</v>
      </c>
      <c r="BJ56" s="2">
        <f t="shared" si="41"/>
        <v>638.00991221910112</v>
      </c>
      <c r="BK56" s="2">
        <f t="shared" si="42"/>
        <v>486.7230214185393</v>
      </c>
      <c r="BL56" s="2">
        <f t="shared" si="43"/>
        <v>29.976882022471912</v>
      </c>
      <c r="BM56" s="2">
        <f t="shared" si="27"/>
        <v>121.31000877808991</v>
      </c>
      <c r="BN56" s="2">
        <f t="shared" si="44"/>
        <v>176.80646675009265</v>
      </c>
      <c r="BO56" s="2">
        <f t="shared" si="45"/>
        <v>391.97646034482756</v>
      </c>
      <c r="BP56" s="2">
        <f t="shared" si="28"/>
        <v>6.7882758620689287</v>
      </c>
      <c r="BQ56" s="2">
        <f t="shared" si="46"/>
        <v>211.50715765449436</v>
      </c>
      <c r="BR56" s="2">
        <f t="shared" si="47"/>
        <v>417.62354108146064</v>
      </c>
      <c r="BS56" s="2">
        <f t="shared" si="29"/>
        <v>8.8792134831461453</v>
      </c>
      <c r="BT56" s="18">
        <f t="shared" si="30"/>
        <v>0.82275107480916843</v>
      </c>
      <c r="BU56" s="18">
        <f t="shared" si="31"/>
        <v>0.76287689594921548</v>
      </c>
      <c r="BV56" s="18">
        <f t="shared" si="48"/>
        <v>0.68102166739936587</v>
      </c>
      <c r="BW56" s="18">
        <f t="shared" si="49"/>
        <v>0.65457218310119791</v>
      </c>
      <c r="BX56" s="34">
        <f t="shared" si="50"/>
        <v>13.425925925925927</v>
      </c>
      <c r="BY56" s="34">
        <f t="shared" si="51"/>
        <v>13.825242718446601</v>
      </c>
      <c r="BZ56" s="34">
        <f t="shared" si="32"/>
        <v>9.3705570634612911</v>
      </c>
      <c r="CA56" s="34">
        <f t="shared" si="33"/>
        <v>9.3770578164098524</v>
      </c>
      <c r="CB56" s="29">
        <v>1.98</v>
      </c>
      <c r="CC56" s="2">
        <v>2985.2</v>
      </c>
      <c r="CD56" s="2">
        <v>3802.5</v>
      </c>
      <c r="CE56">
        <v>5378</v>
      </c>
      <c r="CF56" t="s">
        <v>234</v>
      </c>
      <c r="CG56" t="str">
        <f t="shared" si="55"/>
        <v>Tagamaaline</v>
      </c>
    </row>
    <row r="57" spans="1:85" ht="14.25" customHeight="1" x14ac:dyDescent="0.35">
      <c r="A57" t="s">
        <v>144</v>
      </c>
      <c r="B57" s="10" t="s">
        <v>62</v>
      </c>
      <c r="C57" s="11">
        <v>91806.900000000009</v>
      </c>
      <c r="D57" s="11">
        <v>-1025</v>
      </c>
      <c r="E57" s="11">
        <v>56254</v>
      </c>
      <c r="F57" s="11">
        <v>736182.56</v>
      </c>
      <c r="G57" s="11">
        <v>204144.1</v>
      </c>
      <c r="H57" s="11"/>
      <c r="I57" s="11">
        <v>3703987.9500000011</v>
      </c>
      <c r="J57" s="11">
        <v>199928.88383999999</v>
      </c>
      <c r="K57" s="11">
        <v>219486.93</v>
      </c>
      <c r="L57" s="12">
        <f t="shared" si="36"/>
        <v>4546295.2400000012</v>
      </c>
      <c r="M57" s="11">
        <v>110980.47</v>
      </c>
      <c r="N57" s="13"/>
      <c r="O57" s="11">
        <v>57356.93</v>
      </c>
      <c r="P57" s="11">
        <v>801555.14</v>
      </c>
      <c r="Q57" s="11">
        <v>196541.74</v>
      </c>
      <c r="R57" s="11"/>
      <c r="S57" s="11">
        <v>3486401.28</v>
      </c>
      <c r="T57" s="11">
        <v>190473.78642000002</v>
      </c>
      <c r="U57" s="11">
        <v>220418.68</v>
      </c>
      <c r="V57" s="12">
        <f t="shared" si="37"/>
        <v>4422813.8299999991</v>
      </c>
      <c r="W57" s="11">
        <v>2685418</v>
      </c>
      <c r="X57" s="11">
        <v>92412</v>
      </c>
      <c r="Y57" s="11">
        <v>56053.369999999995</v>
      </c>
      <c r="Z57" s="51">
        <f t="shared" si="18"/>
        <v>2833883.37</v>
      </c>
      <c r="AA57" s="11">
        <v>2737932</v>
      </c>
      <c r="AB57" s="11">
        <v>107474</v>
      </c>
      <c r="AC57" s="11">
        <v>149600.85</v>
      </c>
      <c r="AD57" s="51">
        <f t="shared" si="19"/>
        <v>2995006.85</v>
      </c>
      <c r="AE57" s="2">
        <v>884</v>
      </c>
      <c r="AF57">
        <v>866</v>
      </c>
      <c r="AG57">
        <v>851</v>
      </c>
      <c r="AH57" s="2">
        <f t="shared" si="20"/>
        <v>878</v>
      </c>
      <c r="AI57" s="2">
        <f t="shared" si="21"/>
        <v>861</v>
      </c>
      <c r="AJ57" s="2">
        <v>57</v>
      </c>
      <c r="AK57" s="2">
        <v>60</v>
      </c>
      <c r="AL57" s="2">
        <v>62</v>
      </c>
      <c r="AM57" s="2">
        <f t="shared" si="22"/>
        <v>58</v>
      </c>
      <c r="AN57" s="2">
        <f t="shared" si="23"/>
        <v>60.666666666666671</v>
      </c>
      <c r="AO57" s="2">
        <v>74.850000000000009</v>
      </c>
      <c r="AP57" s="2">
        <v>69.069999999999993</v>
      </c>
      <c r="AQ57" s="2">
        <v>2069191.29</v>
      </c>
      <c r="AR57" s="2">
        <v>1893512.29</v>
      </c>
      <c r="AS57" s="2">
        <f t="shared" si="24"/>
        <v>2303.7088510354038</v>
      </c>
      <c r="AT57" s="2">
        <f t="shared" si="25"/>
        <v>2284.5329496645918</v>
      </c>
      <c r="AU57" s="2">
        <f>Alusharidus!AH57*2/3+Alusharidus!AL57*1/3</f>
        <v>0</v>
      </c>
      <c r="AV57" s="2">
        <f>Alusharidus!AL57*2/3+Alusharidus!AP57*1/3</f>
        <v>0</v>
      </c>
      <c r="AW57" s="18">
        <f t="shared" si="56"/>
        <v>0</v>
      </c>
      <c r="AX57" s="18">
        <f t="shared" si="57"/>
        <v>0</v>
      </c>
      <c r="AY57" s="40"/>
      <c r="AZ57" s="40"/>
      <c r="BF57" s="2">
        <f t="shared" si="38"/>
        <v>431.50106681852708</v>
      </c>
      <c r="BG57" s="2">
        <f t="shared" si="39"/>
        <v>351.55542425968116</v>
      </c>
      <c r="BH57" s="2">
        <f t="shared" si="40"/>
        <v>20.832092824601364</v>
      </c>
      <c r="BI57" s="2">
        <f t="shared" si="26"/>
        <v>59.113549734244557</v>
      </c>
      <c r="BJ57" s="2">
        <f t="shared" si="41"/>
        <v>428.06947638404949</v>
      </c>
      <c r="BK57" s="2">
        <f t="shared" si="42"/>
        <v>337.43721254355398</v>
      </c>
      <c r="BL57" s="2">
        <f t="shared" si="43"/>
        <v>21.333592721641498</v>
      </c>
      <c r="BM57" s="2">
        <f t="shared" si="27"/>
        <v>69.298671118854017</v>
      </c>
      <c r="BN57" s="2">
        <f t="shared" si="44"/>
        <v>162.52960041761591</v>
      </c>
      <c r="BO57" s="2">
        <f t="shared" si="45"/>
        <v>260.20039578587699</v>
      </c>
      <c r="BP57" s="2">
        <f t="shared" si="28"/>
        <v>8.771070615034148</v>
      </c>
      <c r="BQ57" s="2">
        <f t="shared" si="46"/>
        <v>138.19270034843197</v>
      </c>
      <c r="BR57" s="2">
        <f t="shared" si="47"/>
        <v>279.4747241579559</v>
      </c>
      <c r="BS57" s="2">
        <f t="shared" si="29"/>
        <v>10.40205187766162</v>
      </c>
      <c r="BT57" s="18">
        <f t="shared" si="30"/>
        <v>0.81472666302243923</v>
      </c>
      <c r="BU57" s="18">
        <f t="shared" si="31"/>
        <v>0.78827674281736615</v>
      </c>
      <c r="BV57" s="18">
        <f t="shared" si="48"/>
        <v>0.60301217261024154</v>
      </c>
      <c r="BW57" s="18">
        <f t="shared" si="49"/>
        <v>0.6528723480092764</v>
      </c>
      <c r="BX57" s="34">
        <f t="shared" si="50"/>
        <v>15.137931034482758</v>
      </c>
      <c r="BY57" s="34">
        <f t="shared" si="51"/>
        <v>14.192307692307692</v>
      </c>
      <c r="BZ57" s="34">
        <f t="shared" si="32"/>
        <v>11.730126920507681</v>
      </c>
      <c r="CA57" s="34">
        <f t="shared" si="33"/>
        <v>12.465614593890258</v>
      </c>
      <c r="CB57" s="29">
        <v>1.25</v>
      </c>
      <c r="CC57" s="2">
        <v>3651.9</v>
      </c>
      <c r="CD57" s="2">
        <v>4166</v>
      </c>
      <c r="CE57">
        <v>7842</v>
      </c>
      <c r="CF57" t="s">
        <v>234</v>
      </c>
      <c r="CG57" t="str">
        <f t="shared" si="55"/>
        <v>Keskuslik</v>
      </c>
    </row>
    <row r="58" spans="1:85" ht="14.25" customHeight="1" x14ac:dyDescent="0.35">
      <c r="A58" t="s">
        <v>130</v>
      </c>
      <c r="B58" s="10" t="s">
        <v>63</v>
      </c>
      <c r="C58" s="11">
        <v>101608.61</v>
      </c>
      <c r="D58" s="13"/>
      <c r="E58" s="11">
        <v>258</v>
      </c>
      <c r="F58" s="11">
        <v>692026.53</v>
      </c>
      <c r="G58" s="11">
        <v>114388.14</v>
      </c>
      <c r="H58" s="11">
        <v>15019.01</v>
      </c>
      <c r="I58" s="11">
        <v>3618584.08</v>
      </c>
      <c r="J58" s="11">
        <v>245645.09250000003</v>
      </c>
      <c r="K58" s="11">
        <v>228409.45</v>
      </c>
      <c r="L58" s="12">
        <f t="shared" si="36"/>
        <v>4526240.53</v>
      </c>
      <c r="M58" s="11">
        <v>133619.15</v>
      </c>
      <c r="N58" s="11">
        <v>60</v>
      </c>
      <c r="O58" s="11">
        <v>298</v>
      </c>
      <c r="P58" s="11">
        <v>804435.85999999987</v>
      </c>
      <c r="Q58" s="11">
        <v>117771.22</v>
      </c>
      <c r="R58" s="11">
        <v>16478.64</v>
      </c>
      <c r="S58" s="11">
        <v>3738480.8899999992</v>
      </c>
      <c r="T58" s="11">
        <v>264049.05504000001</v>
      </c>
      <c r="U58" s="11">
        <v>235058.7</v>
      </c>
      <c r="V58" s="12">
        <f t="shared" si="37"/>
        <v>4793883.38</v>
      </c>
      <c r="W58" s="11">
        <v>2755388</v>
      </c>
      <c r="X58" s="11">
        <v>70047</v>
      </c>
      <c r="Y58" s="11">
        <v>65530.700000000012</v>
      </c>
      <c r="Z58" s="51">
        <f t="shared" si="18"/>
        <v>2890965.7</v>
      </c>
      <c r="AA58" s="11">
        <v>2668363</v>
      </c>
      <c r="AB58" s="11">
        <v>70395</v>
      </c>
      <c r="AC58" s="11">
        <v>211739.53999999998</v>
      </c>
      <c r="AD58" s="51">
        <f t="shared" si="19"/>
        <v>2950497.54</v>
      </c>
      <c r="AE58" s="2">
        <v>764</v>
      </c>
      <c r="AF58">
        <v>735</v>
      </c>
      <c r="AG58">
        <v>696</v>
      </c>
      <c r="AH58" s="2">
        <f t="shared" si="20"/>
        <v>754.33333333333326</v>
      </c>
      <c r="AI58" s="2">
        <f t="shared" si="21"/>
        <v>722</v>
      </c>
      <c r="AJ58" s="2">
        <v>61</v>
      </c>
      <c r="AK58" s="2">
        <v>64</v>
      </c>
      <c r="AL58" s="2">
        <v>63</v>
      </c>
      <c r="AM58" s="2">
        <f t="shared" si="22"/>
        <v>62</v>
      </c>
      <c r="AN58" s="2">
        <f t="shared" si="23"/>
        <v>63.666666666666664</v>
      </c>
      <c r="AO58" s="2">
        <v>71.05</v>
      </c>
      <c r="AP58" s="2">
        <v>73.19</v>
      </c>
      <c r="AQ58" s="2">
        <v>1792145.79</v>
      </c>
      <c r="AR58" s="2">
        <v>1824904.91</v>
      </c>
      <c r="AS58" s="2">
        <f t="shared" si="24"/>
        <v>2101.9772343420127</v>
      </c>
      <c r="AT58" s="2">
        <f t="shared" si="25"/>
        <v>2077.8167668625042</v>
      </c>
      <c r="AU58" s="2">
        <f>Alusharidus!AH58*2/3+Alusharidus!AL58*1/3</f>
        <v>68.666666666666657</v>
      </c>
      <c r="AV58" s="2">
        <f>Alusharidus!AL58*2/3+Alusharidus!AP58*1/3</f>
        <v>66</v>
      </c>
      <c r="AW58" s="18">
        <f t="shared" si="56"/>
        <v>8.3434588902389625E-2</v>
      </c>
      <c r="AX58" s="18">
        <f t="shared" si="57"/>
        <v>8.3756345177664976E-2</v>
      </c>
      <c r="AY58" s="37">
        <f>(L58-I58-192397.4)*AW58</f>
        <v>59677.34479546376</v>
      </c>
      <c r="AZ58" s="37">
        <f>(V58-S58-278705.29)*AX58</f>
        <v>65053.318781725946</v>
      </c>
      <c r="BB58" s="41" t="s">
        <v>195</v>
      </c>
      <c r="BC58" s="41" t="s">
        <v>195</v>
      </c>
      <c r="BD58" s="41" t="s">
        <v>195</v>
      </c>
      <c r="BF58" s="2">
        <f t="shared" si="38"/>
        <v>493.43384723868058</v>
      </c>
      <c r="BG58" s="2">
        <f t="shared" si="39"/>
        <v>399.75520106053915</v>
      </c>
      <c r="BH58" s="2">
        <f t="shared" si="40"/>
        <v>26.892229341581977</v>
      </c>
      <c r="BI58" s="2">
        <f t="shared" si="26"/>
        <v>66.786416836559454</v>
      </c>
      <c r="BJ58" s="2">
        <f t="shared" si="41"/>
        <v>545.80217696425132</v>
      </c>
      <c r="BK58" s="2">
        <f t="shared" si="42"/>
        <v>431.49594759926123</v>
      </c>
      <c r="BL58" s="2">
        <f t="shared" si="43"/>
        <v>29.032472299168976</v>
      </c>
      <c r="BM58" s="2">
        <f t="shared" si="27"/>
        <v>85.273757065821115</v>
      </c>
      <c r="BN58" s="2">
        <f t="shared" si="44"/>
        <v>174.06070318211849</v>
      </c>
      <c r="BO58" s="2">
        <f t="shared" si="45"/>
        <v>311.63485417587282</v>
      </c>
      <c r="BP58" s="2">
        <f t="shared" si="28"/>
        <v>7.7382898806892513</v>
      </c>
      <c r="BQ58" s="2">
        <f t="shared" si="46"/>
        <v>205.25536948502699</v>
      </c>
      <c r="BR58" s="2">
        <f t="shared" si="47"/>
        <v>332.42180747922436</v>
      </c>
      <c r="BS58" s="2">
        <f t="shared" si="29"/>
        <v>8.1249999999999432</v>
      </c>
      <c r="BT58" s="18">
        <f t="shared" si="30"/>
        <v>0.81014953331154882</v>
      </c>
      <c r="BU58" s="18">
        <f t="shared" si="31"/>
        <v>0.79057205304537126</v>
      </c>
      <c r="BV58" s="18">
        <f t="shared" si="48"/>
        <v>0.63156359443078658</v>
      </c>
      <c r="BW58" s="18">
        <f t="shared" si="49"/>
        <v>0.6090518167738953</v>
      </c>
      <c r="BX58" s="34">
        <f t="shared" si="50"/>
        <v>12.166666666666666</v>
      </c>
      <c r="BY58" s="34">
        <f t="shared" si="51"/>
        <v>11.340314136125654</v>
      </c>
      <c r="BZ58" s="34">
        <f t="shared" si="32"/>
        <v>10.61693642974431</v>
      </c>
      <c r="CA58" s="34">
        <f t="shared" si="33"/>
        <v>9.8647356196201663</v>
      </c>
      <c r="CB58" s="29">
        <v>1.52</v>
      </c>
      <c r="CC58" s="2">
        <v>4159.6000000000004</v>
      </c>
      <c r="CD58" s="2">
        <v>5185.5</v>
      </c>
      <c r="CE58">
        <v>7398</v>
      </c>
      <c r="CF58" t="s">
        <v>234</v>
      </c>
      <c r="CG58" t="str">
        <f t="shared" si="55"/>
        <v>Keskus-tagamaaline</v>
      </c>
    </row>
    <row r="59" spans="1:85" ht="14.25" customHeight="1" x14ac:dyDescent="0.35">
      <c r="A59" t="s">
        <v>114</v>
      </c>
      <c r="B59" s="10" t="s">
        <v>64</v>
      </c>
      <c r="C59" s="11">
        <v>214561.84</v>
      </c>
      <c r="D59" s="13"/>
      <c r="E59" s="11">
        <v>36</v>
      </c>
      <c r="F59" s="11">
        <v>1391981.07</v>
      </c>
      <c r="G59" s="11">
        <v>176369.06</v>
      </c>
      <c r="H59" s="11">
        <v>983.31000000000006</v>
      </c>
      <c r="I59" s="11">
        <v>7285138.1700000009</v>
      </c>
      <c r="J59" s="11">
        <v>286703.0943</v>
      </c>
      <c r="K59" s="11">
        <v>393893.15</v>
      </c>
      <c r="L59" s="12">
        <f t="shared" si="36"/>
        <v>9109205.1700000018</v>
      </c>
      <c r="M59" s="11">
        <v>288485.33</v>
      </c>
      <c r="N59" s="13"/>
      <c r="O59" s="11">
        <v>1230</v>
      </c>
      <c r="P59" s="11">
        <v>1734529.679999999</v>
      </c>
      <c r="Q59" s="11">
        <v>215225.14</v>
      </c>
      <c r="R59" s="11">
        <v>1927.8</v>
      </c>
      <c r="S59" s="11">
        <v>7622317.9800000004</v>
      </c>
      <c r="T59" s="11">
        <v>309831.88271999999</v>
      </c>
      <c r="U59" s="14">
        <v>338096.93</v>
      </c>
      <c r="V59" s="12">
        <f t="shared" si="37"/>
        <v>9768204.7799999993</v>
      </c>
      <c r="W59" s="11">
        <v>5257816</v>
      </c>
      <c r="X59" s="11">
        <v>142233</v>
      </c>
      <c r="Y59" s="11">
        <v>93996.140000000014</v>
      </c>
      <c r="Z59" s="51">
        <f t="shared" si="18"/>
        <v>5494045.1399999997</v>
      </c>
      <c r="AA59" s="11">
        <v>5416726</v>
      </c>
      <c r="AB59" s="11">
        <v>135795</v>
      </c>
      <c r="AC59" s="11">
        <v>394201.39</v>
      </c>
      <c r="AD59" s="51">
        <f t="shared" si="19"/>
        <v>5946722.3899999997</v>
      </c>
      <c r="AE59" s="2">
        <v>1407</v>
      </c>
      <c r="AF59">
        <v>1408</v>
      </c>
      <c r="AG59">
        <v>1410</v>
      </c>
      <c r="AH59" s="2">
        <f t="shared" si="20"/>
        <v>1407.3333333333333</v>
      </c>
      <c r="AI59" s="2">
        <f t="shared" si="21"/>
        <v>1408.6666666666665</v>
      </c>
      <c r="AJ59" s="2">
        <v>102</v>
      </c>
      <c r="AK59" s="2">
        <v>107</v>
      </c>
      <c r="AL59" s="2">
        <v>109</v>
      </c>
      <c r="AM59" s="2">
        <f t="shared" si="22"/>
        <v>103.66666666666666</v>
      </c>
      <c r="AN59" s="2">
        <f t="shared" si="23"/>
        <v>107.66666666666666</v>
      </c>
      <c r="AO59" s="2">
        <v>149.04</v>
      </c>
      <c r="AP59" s="2">
        <v>152.09</v>
      </c>
      <c r="AQ59" s="2">
        <v>3778868.16</v>
      </c>
      <c r="AR59" s="2">
        <v>3886103.74</v>
      </c>
      <c r="AS59" s="2">
        <f t="shared" si="24"/>
        <v>2112.8937198067638</v>
      </c>
      <c r="AT59" s="2">
        <f t="shared" si="25"/>
        <v>2129.278574089903</v>
      </c>
      <c r="AU59" s="2">
        <f>Alusharidus!AH59*2/3+Alusharidus!AL59*1/3</f>
        <v>265.66666666666663</v>
      </c>
      <c r="AV59" s="2">
        <f>Alusharidus!AL59*2/3+Alusharidus!AP59*1/3</f>
        <v>251</v>
      </c>
      <c r="AW59" s="18">
        <f t="shared" si="56"/>
        <v>0.15879657302251443</v>
      </c>
      <c r="AX59" s="18">
        <f t="shared" si="57"/>
        <v>0.15123518778871262</v>
      </c>
      <c r="AY59" s="40"/>
      <c r="AZ59" s="40"/>
      <c r="BA59" s="25" t="s">
        <v>195</v>
      </c>
      <c r="BF59" s="2">
        <f t="shared" si="38"/>
        <v>539.38922134059703</v>
      </c>
      <c r="BG59" s="2">
        <f t="shared" si="39"/>
        <v>431.37956951681673</v>
      </c>
      <c r="BH59" s="2">
        <f t="shared" si="40"/>
        <v>23.382073661771674</v>
      </c>
      <c r="BI59" s="2">
        <f t="shared" si="26"/>
        <v>84.627578162008632</v>
      </c>
      <c r="BJ59" s="2">
        <f t="shared" si="41"/>
        <v>577.86351041173691</v>
      </c>
      <c r="BK59" s="2">
        <f t="shared" si="42"/>
        <v>450.91800638902038</v>
      </c>
      <c r="BL59" s="2">
        <f t="shared" si="43"/>
        <v>20.115045551348796</v>
      </c>
      <c r="BM59" s="2">
        <f t="shared" si="27"/>
        <v>106.83045847136773</v>
      </c>
      <c r="BN59" s="2">
        <f t="shared" si="44"/>
        <v>214.06679476551412</v>
      </c>
      <c r="BO59" s="2">
        <f t="shared" si="45"/>
        <v>316.90029251539556</v>
      </c>
      <c r="BP59" s="2">
        <f t="shared" si="28"/>
        <v>8.4221340596873233</v>
      </c>
      <c r="BQ59" s="2">
        <f t="shared" si="46"/>
        <v>226.06971071935638</v>
      </c>
      <c r="BR59" s="2">
        <f t="shared" si="47"/>
        <v>343.76049396592521</v>
      </c>
      <c r="BS59" s="2">
        <f t="shared" si="29"/>
        <v>8.0333057264552963</v>
      </c>
      <c r="BT59" s="18">
        <f t="shared" si="30"/>
        <v>0.79975563554026297</v>
      </c>
      <c r="BU59" s="18">
        <f t="shared" si="31"/>
        <v>0.78031922463443681</v>
      </c>
      <c r="BV59" s="18">
        <f t="shared" si="48"/>
        <v>0.58751691724163879</v>
      </c>
      <c r="BW59" s="18">
        <f t="shared" si="49"/>
        <v>0.59488181512099714</v>
      </c>
      <c r="BX59" s="34">
        <f t="shared" si="50"/>
        <v>13.57556270096463</v>
      </c>
      <c r="BY59" s="34">
        <f t="shared" si="51"/>
        <v>13.08359133126935</v>
      </c>
      <c r="BZ59" s="34">
        <f t="shared" si="32"/>
        <v>9.4426552156020751</v>
      </c>
      <c r="CA59" s="34">
        <f t="shared" si="33"/>
        <v>9.2620597453262317</v>
      </c>
      <c r="CB59" s="29">
        <v>1.51</v>
      </c>
      <c r="CC59" s="2">
        <v>2893.5</v>
      </c>
      <c r="CD59" s="2">
        <v>3211</v>
      </c>
      <c r="CE59">
        <v>13206</v>
      </c>
      <c r="CF59" t="s">
        <v>234</v>
      </c>
      <c r="CG59" t="str">
        <f t="shared" si="55"/>
        <v>Keskus-tagamaaline</v>
      </c>
    </row>
    <row r="60" spans="1:85" ht="14.25" customHeight="1" x14ac:dyDescent="0.35">
      <c r="A60" t="s">
        <v>133</v>
      </c>
      <c r="B60" s="10" t="s">
        <v>65</v>
      </c>
      <c r="C60" s="11">
        <v>23281.91</v>
      </c>
      <c r="D60" s="13"/>
      <c r="E60" s="13"/>
      <c r="F60" s="11">
        <v>177691.24999999991</v>
      </c>
      <c r="G60" s="11">
        <v>33486.06</v>
      </c>
      <c r="H60" s="11"/>
      <c r="I60" s="11">
        <v>837383.70000000007</v>
      </c>
      <c r="J60" s="11">
        <v>41661.747540000004</v>
      </c>
      <c r="K60" s="11">
        <v>61375.39</v>
      </c>
      <c r="L60" s="12">
        <f t="shared" si="36"/>
        <v>1066246.19</v>
      </c>
      <c r="M60" s="11">
        <v>45218.42</v>
      </c>
      <c r="N60" s="13"/>
      <c r="O60" s="13"/>
      <c r="P60" s="11">
        <v>278527.65000000002</v>
      </c>
      <c r="Q60" s="11">
        <v>42623.74</v>
      </c>
      <c r="R60" s="11"/>
      <c r="S60" s="11">
        <v>859058.14</v>
      </c>
      <c r="T60" s="11">
        <v>56449.189740000009</v>
      </c>
      <c r="U60" s="11">
        <v>39842</v>
      </c>
      <c r="V60" s="12">
        <f t="shared" si="37"/>
        <v>1180022.47</v>
      </c>
      <c r="W60" s="11">
        <v>673508</v>
      </c>
      <c r="X60" s="11">
        <v>23350.45</v>
      </c>
      <c r="Y60" s="11">
        <v>3612.7299999999996</v>
      </c>
      <c r="Z60" s="51">
        <f t="shared" si="18"/>
        <v>700471.17999999993</v>
      </c>
      <c r="AA60" s="11">
        <v>669866</v>
      </c>
      <c r="AB60" s="11">
        <v>72669.100000000006</v>
      </c>
      <c r="AC60" s="11">
        <v>22571.829999999987</v>
      </c>
      <c r="AD60" s="51">
        <f t="shared" si="19"/>
        <v>765106.92999999993</v>
      </c>
      <c r="AE60" s="2">
        <v>132</v>
      </c>
      <c r="AF60">
        <v>130</v>
      </c>
      <c r="AG60">
        <v>127</v>
      </c>
      <c r="AH60" s="2">
        <f t="shared" si="20"/>
        <v>131.33333333333334</v>
      </c>
      <c r="AI60" s="2">
        <f t="shared" si="21"/>
        <v>129</v>
      </c>
      <c r="AJ60" s="2">
        <v>9</v>
      </c>
      <c r="AK60" s="2">
        <v>9</v>
      </c>
      <c r="AL60" s="2">
        <v>9</v>
      </c>
      <c r="AM60" s="2">
        <f t="shared" si="22"/>
        <v>9</v>
      </c>
      <c r="AN60" s="2">
        <f t="shared" si="23"/>
        <v>9</v>
      </c>
      <c r="AO60" s="2">
        <v>14</v>
      </c>
      <c r="AP60" s="2">
        <v>15.75</v>
      </c>
      <c r="AQ60" s="2">
        <v>393651.6</v>
      </c>
      <c r="AR60" s="2">
        <v>378045.49</v>
      </c>
      <c r="AS60" s="2">
        <f t="shared" si="24"/>
        <v>2343.1642857142856</v>
      </c>
      <c r="AT60" s="2">
        <f t="shared" si="25"/>
        <v>2000.2406878306876</v>
      </c>
      <c r="AU60" s="2">
        <f>Alusharidus!AH60*2/3+Alusharidus!AL60*1/3</f>
        <v>0</v>
      </c>
      <c r="AV60" s="2">
        <f>Alusharidus!AL60*2/3+Alusharidus!AP60*1/3</f>
        <v>0</v>
      </c>
      <c r="AW60" s="18">
        <f t="shared" si="56"/>
        <v>0</v>
      </c>
      <c r="AX60" s="18">
        <f t="shared" si="57"/>
        <v>0</v>
      </c>
      <c r="AY60" s="40"/>
      <c r="AZ60" s="40"/>
      <c r="BF60" s="2">
        <f t="shared" si="38"/>
        <v>676.55215101522833</v>
      </c>
      <c r="BG60" s="2">
        <f t="shared" si="39"/>
        <v>531.3348350253807</v>
      </c>
      <c r="BH60" s="2">
        <f t="shared" si="40"/>
        <v>38.943775380710655</v>
      </c>
      <c r="BI60" s="2">
        <f t="shared" si="26"/>
        <v>106.27354060913697</v>
      </c>
      <c r="BJ60" s="2">
        <f t="shared" si="41"/>
        <v>762.28841731266141</v>
      </c>
      <c r="BK60" s="2">
        <f t="shared" si="42"/>
        <v>554.94711886304913</v>
      </c>
      <c r="BL60" s="2">
        <f t="shared" si="43"/>
        <v>25.737726098191214</v>
      </c>
      <c r="BM60" s="2">
        <f t="shared" si="27"/>
        <v>181.60357235142106</v>
      </c>
      <c r="BN60" s="2">
        <f t="shared" si="44"/>
        <v>232.0907423857868</v>
      </c>
      <c r="BO60" s="2">
        <f t="shared" si="45"/>
        <v>429.64513324873093</v>
      </c>
      <c r="BP60" s="2">
        <f t="shared" si="28"/>
        <v>14.816275380710579</v>
      </c>
      <c r="BQ60" s="2">
        <f t="shared" si="46"/>
        <v>268.03329457364345</v>
      </c>
      <c r="BR60" s="2">
        <f t="shared" si="47"/>
        <v>447.31125968992245</v>
      </c>
      <c r="BS60" s="2">
        <f t="shared" si="29"/>
        <v>46.943863049095512</v>
      </c>
      <c r="BT60" s="18">
        <f t="shared" si="30"/>
        <v>0.78535680394787633</v>
      </c>
      <c r="BU60" s="18">
        <f t="shared" si="31"/>
        <v>0.72800151000514435</v>
      </c>
      <c r="BV60" s="18">
        <f t="shared" si="48"/>
        <v>0.63505101950235343</v>
      </c>
      <c r="BW60" s="18">
        <f t="shared" si="49"/>
        <v>0.58680054626417411</v>
      </c>
      <c r="BX60" s="34">
        <f t="shared" si="50"/>
        <v>14.592592592592593</v>
      </c>
      <c r="BY60" s="34">
        <f t="shared" si="51"/>
        <v>14.333333333333334</v>
      </c>
      <c r="BZ60" s="34">
        <f t="shared" si="32"/>
        <v>9.3809523809523814</v>
      </c>
      <c r="CA60" s="34">
        <f t="shared" si="33"/>
        <v>8.1904761904761898</v>
      </c>
      <c r="CB60" s="29">
        <v>2.09</v>
      </c>
      <c r="CC60" s="2">
        <v>5659.1</v>
      </c>
      <c r="CD60" s="2">
        <v>6766.8</v>
      </c>
      <c r="CE60">
        <v>2092</v>
      </c>
      <c r="CF60" t="s">
        <v>232</v>
      </c>
      <c r="CG60" t="s">
        <v>232</v>
      </c>
    </row>
    <row r="61" spans="1:85" ht="14.25" customHeight="1" x14ac:dyDescent="0.35">
      <c r="A61" t="s">
        <v>167</v>
      </c>
      <c r="B61" s="10" t="s">
        <v>88</v>
      </c>
      <c r="C61" s="11">
        <v>3448.06</v>
      </c>
      <c r="D61" s="13"/>
      <c r="E61" s="13"/>
      <c r="F61" s="11">
        <v>21149.67</v>
      </c>
      <c r="G61" s="11">
        <v>1894.5</v>
      </c>
      <c r="H61" s="11"/>
      <c r="I61" s="11">
        <v>189820.88</v>
      </c>
      <c r="J61" s="11">
        <v>16056.000000000002</v>
      </c>
      <c r="K61" s="11">
        <v>14923.92</v>
      </c>
      <c r="L61" s="12">
        <f t="shared" si="36"/>
        <v>227448.03000000003</v>
      </c>
      <c r="M61" s="11">
        <v>8640.380000000001</v>
      </c>
      <c r="N61" s="13"/>
      <c r="O61" s="13"/>
      <c r="P61" s="11">
        <v>52357.78</v>
      </c>
      <c r="Q61" s="11">
        <v>3304</v>
      </c>
      <c r="R61" s="11"/>
      <c r="S61" s="11">
        <v>196528.96</v>
      </c>
      <c r="T61" s="11">
        <v>17661.600000000002</v>
      </c>
      <c r="U61" s="11">
        <v>14923.92</v>
      </c>
      <c r="V61" s="12">
        <f t="shared" si="37"/>
        <v>269147.03999999998</v>
      </c>
      <c r="W61" s="11">
        <v>161451</v>
      </c>
      <c r="X61" s="11">
        <v>500</v>
      </c>
      <c r="Y61" s="11">
        <v>1000</v>
      </c>
      <c r="Z61" s="51">
        <f t="shared" si="18"/>
        <v>162951</v>
      </c>
      <c r="AA61" s="11">
        <v>161684</v>
      </c>
      <c r="AB61" s="11"/>
      <c r="AC61" s="11">
        <v>8471</v>
      </c>
      <c r="AD61" s="51">
        <f t="shared" si="19"/>
        <v>170155</v>
      </c>
      <c r="AE61" s="2">
        <v>7</v>
      </c>
      <c r="AF61">
        <v>10</v>
      </c>
      <c r="AG61">
        <v>9</v>
      </c>
      <c r="AH61" s="2">
        <f t="shared" si="20"/>
        <v>8</v>
      </c>
      <c r="AI61" s="2">
        <f t="shared" si="21"/>
        <v>9.6666666666666679</v>
      </c>
      <c r="AJ61" s="2">
        <v>4</v>
      </c>
      <c r="AK61" s="2">
        <v>7</v>
      </c>
      <c r="AL61" s="2">
        <v>5</v>
      </c>
      <c r="AM61" s="2">
        <f t="shared" si="22"/>
        <v>5</v>
      </c>
      <c r="AN61" s="2">
        <f t="shared" si="23"/>
        <v>6.3333333333333339</v>
      </c>
      <c r="AO61" s="2">
        <v>4.7300000000000004</v>
      </c>
      <c r="AP61" s="2">
        <v>4.3600000000000003</v>
      </c>
      <c r="AQ61" s="2">
        <v>111919.32</v>
      </c>
      <c r="AR61" s="2">
        <v>113590.86</v>
      </c>
      <c r="AS61" s="2">
        <f t="shared" si="24"/>
        <v>1971.7991543340379</v>
      </c>
      <c r="AT61" s="2">
        <f t="shared" si="25"/>
        <v>2171.0791284403667</v>
      </c>
      <c r="AU61" s="2">
        <f>Alusharidus!AH61*2/3+Alusharidus!AL61*1/3</f>
        <v>0</v>
      </c>
      <c r="AV61" s="2">
        <f>Alusharidus!AL61*2/3+Alusharidus!AP61*1/3</f>
        <v>0</v>
      </c>
      <c r="AW61" s="18">
        <f t="shared" si="56"/>
        <v>0</v>
      </c>
      <c r="AX61" s="18">
        <f t="shared" si="57"/>
        <v>0</v>
      </c>
      <c r="AY61" s="40"/>
      <c r="AZ61" s="40"/>
      <c r="BF61" s="2">
        <f t="shared" si="38"/>
        <v>2369.2503125000003</v>
      </c>
      <c r="BG61" s="2">
        <f t="shared" si="39"/>
        <v>1977.3008333333335</v>
      </c>
      <c r="BH61" s="2">
        <f t="shared" si="40"/>
        <v>155.45750000000001</v>
      </c>
      <c r="BI61" s="2">
        <f t="shared" si="26"/>
        <v>236.49197916666682</v>
      </c>
      <c r="BJ61" s="2">
        <f t="shared" si="41"/>
        <v>2320.2331034482754</v>
      </c>
      <c r="BK61" s="2">
        <f t="shared" si="42"/>
        <v>1694.215172413793</v>
      </c>
      <c r="BL61" s="2">
        <f t="shared" si="43"/>
        <v>128.65448275862067</v>
      </c>
      <c r="BM61" s="2">
        <f t="shared" si="27"/>
        <v>497.36344827586174</v>
      </c>
      <c r="BN61" s="2">
        <f t="shared" si="44"/>
        <v>671.84406250000029</v>
      </c>
      <c r="BO61" s="2">
        <f t="shared" si="45"/>
        <v>1692.1979166666667</v>
      </c>
      <c r="BP61" s="2">
        <f t="shared" si="28"/>
        <v>5.2083333333332575</v>
      </c>
      <c r="BQ61" s="2">
        <f t="shared" si="46"/>
        <v>853.37965517241355</v>
      </c>
      <c r="BR61" s="2">
        <f t="shared" si="47"/>
        <v>1466.8534482758621</v>
      </c>
      <c r="BS61" s="2">
        <f t="shared" si="29"/>
        <v>0</v>
      </c>
      <c r="BT61" s="18">
        <f t="shared" si="30"/>
        <v>0.83456814288521197</v>
      </c>
      <c r="BU61" s="18">
        <f t="shared" si="31"/>
        <v>0.73019179404685264</v>
      </c>
      <c r="BV61" s="18">
        <f t="shared" si="48"/>
        <v>0.71423348885457472</v>
      </c>
      <c r="BW61" s="18">
        <f t="shared" si="49"/>
        <v>0.63220089658054579</v>
      </c>
      <c r="BX61" s="34">
        <f t="shared" si="50"/>
        <v>1.6</v>
      </c>
      <c r="BY61" s="34">
        <f t="shared" si="51"/>
        <v>1.5263157894736843</v>
      </c>
      <c r="BZ61" s="34">
        <f t="shared" si="32"/>
        <v>1.6913319238900633</v>
      </c>
      <c r="CA61" s="34">
        <f t="shared" si="33"/>
        <v>2.217125382262997</v>
      </c>
      <c r="CB61" s="29">
        <v>2.1</v>
      </c>
      <c r="CC61" s="2">
        <v>836.6</v>
      </c>
      <c r="CD61" s="2">
        <v>2532</v>
      </c>
      <c r="CE61">
        <v>163</v>
      </c>
      <c r="CF61" t="s">
        <v>232</v>
      </c>
      <c r="CG61" t="s">
        <v>288</v>
      </c>
    </row>
    <row r="62" spans="1:85" ht="14.25" customHeight="1" x14ac:dyDescent="0.35">
      <c r="A62" t="s">
        <v>110</v>
      </c>
      <c r="B62" s="10" t="s">
        <v>66</v>
      </c>
      <c r="C62" s="11">
        <v>397572.72</v>
      </c>
      <c r="D62" s="11">
        <v>1845.72</v>
      </c>
      <c r="E62" s="11">
        <v>57605.4</v>
      </c>
      <c r="F62" s="11">
        <v>2443013.3699999992</v>
      </c>
      <c r="G62" s="11">
        <v>67353.36</v>
      </c>
      <c r="H62" s="11">
        <v>52329.990000000013</v>
      </c>
      <c r="I62" s="11">
        <v>15713487.460000001</v>
      </c>
      <c r="J62" s="11">
        <v>1158815.5618200002</v>
      </c>
      <c r="K62" s="11">
        <v>1836877.87</v>
      </c>
      <c r="L62" s="12">
        <f t="shared" si="36"/>
        <v>20325443.780000001</v>
      </c>
      <c r="M62" s="11">
        <v>499780.16</v>
      </c>
      <c r="N62" s="11">
        <v>587.6</v>
      </c>
      <c r="O62" s="11">
        <v>64519.199999999997</v>
      </c>
      <c r="P62" s="11">
        <v>2788903.310000001</v>
      </c>
      <c r="Q62" s="11">
        <v>82142.5</v>
      </c>
      <c r="R62" s="11">
        <v>4100.4799999999996</v>
      </c>
      <c r="S62" s="11">
        <v>16548496.16</v>
      </c>
      <c r="T62" s="11">
        <v>1193597.63448</v>
      </c>
      <c r="U62" s="11">
        <v>1881844.97</v>
      </c>
      <c r="V62" s="12">
        <f t="shared" si="37"/>
        <v>21637469.699999999</v>
      </c>
      <c r="W62" s="11">
        <v>11739821</v>
      </c>
      <c r="X62" s="11">
        <v>107987</v>
      </c>
      <c r="Y62" s="11">
        <v>714294.29</v>
      </c>
      <c r="Z62" s="51">
        <f t="shared" si="18"/>
        <v>12562102.289999999</v>
      </c>
      <c r="AA62" s="11">
        <v>12116625</v>
      </c>
      <c r="AB62" s="11">
        <v>138993</v>
      </c>
      <c r="AC62" s="11">
        <v>1419872.67</v>
      </c>
      <c r="AD62" s="51">
        <f t="shared" si="19"/>
        <v>13675490.67</v>
      </c>
      <c r="AE62" s="2">
        <v>3167</v>
      </c>
      <c r="AF62">
        <v>3171</v>
      </c>
      <c r="AG62">
        <v>3195</v>
      </c>
      <c r="AH62" s="2">
        <f t="shared" si="20"/>
        <v>3168.3333333333335</v>
      </c>
      <c r="AI62" s="2">
        <f t="shared" si="21"/>
        <v>3179</v>
      </c>
      <c r="AJ62" s="2">
        <v>230</v>
      </c>
      <c r="AK62" s="2">
        <v>236</v>
      </c>
      <c r="AL62" s="2">
        <v>232</v>
      </c>
      <c r="AM62" s="2">
        <f t="shared" si="22"/>
        <v>232</v>
      </c>
      <c r="AN62" s="2">
        <f t="shared" si="23"/>
        <v>234.66666666666669</v>
      </c>
      <c r="AO62" s="2">
        <v>337.61</v>
      </c>
      <c r="AP62" s="2">
        <v>345.65</v>
      </c>
      <c r="AQ62" s="2">
        <v>8304095.0399999991</v>
      </c>
      <c r="AR62" s="2">
        <v>8569077.879999999</v>
      </c>
      <c r="AS62" s="2">
        <f t="shared" si="24"/>
        <v>2049.7257782648617</v>
      </c>
      <c r="AT62" s="2">
        <f t="shared" si="25"/>
        <v>2065.9332368966679</v>
      </c>
      <c r="AU62" s="2">
        <f>Alusharidus!AH62*2/3+Alusharidus!AL62*1/3</f>
        <v>197</v>
      </c>
      <c r="AV62" s="2">
        <f>Alusharidus!AL62*2/3+Alusharidus!AP62*1/3</f>
        <v>197.66666666666666</v>
      </c>
      <c r="AW62" s="18">
        <f t="shared" si="56"/>
        <v>5.853803486529318E-2</v>
      </c>
      <c r="AX62" s="18">
        <f t="shared" si="57"/>
        <v>5.8538993089832181E-2</v>
      </c>
      <c r="AY62" s="40">
        <f>(L62-I62)*AW62</f>
        <v>269974.85985736927</v>
      </c>
      <c r="AZ62" s="40">
        <f>(V62-S62)*AX62</f>
        <v>297903.38689239876</v>
      </c>
      <c r="BB62" s="41" t="s">
        <v>195</v>
      </c>
      <c r="BF62" s="2">
        <f t="shared" si="38"/>
        <v>527.49786744194193</v>
      </c>
      <c r="BG62" s="2">
        <f t="shared" si="39"/>
        <v>413.29530405049974</v>
      </c>
      <c r="BH62" s="2">
        <f t="shared" si="40"/>
        <v>49.689843766438713</v>
      </c>
      <c r="BI62" s="2">
        <f t="shared" si="26"/>
        <v>64.512719625003484</v>
      </c>
      <c r="BJ62" s="2">
        <f t="shared" si="41"/>
        <v>559.38886214500371</v>
      </c>
      <c r="BK62" s="2">
        <f t="shared" si="42"/>
        <v>433.79721505714588</v>
      </c>
      <c r="BL62" s="2">
        <f t="shared" si="43"/>
        <v>49.43759699066792</v>
      </c>
      <c r="BM62" s="2">
        <f t="shared" si="27"/>
        <v>76.154050097189923</v>
      </c>
      <c r="BN62" s="2">
        <f t="shared" si="44"/>
        <v>197.09012704215237</v>
      </c>
      <c r="BO62" s="2">
        <f t="shared" si="45"/>
        <v>327.56747211993684</v>
      </c>
      <c r="BP62" s="2">
        <f t="shared" si="28"/>
        <v>2.8402682798526939</v>
      </c>
      <c r="BQ62" s="2">
        <f t="shared" si="46"/>
        <v>200.90373396003989</v>
      </c>
      <c r="BR62" s="2">
        <f t="shared" si="47"/>
        <v>354.84160821012898</v>
      </c>
      <c r="BS62" s="2">
        <f t="shared" si="29"/>
        <v>3.6435199748348737</v>
      </c>
      <c r="BT62" s="18">
        <f t="shared" si="30"/>
        <v>0.78350137424202637</v>
      </c>
      <c r="BU62" s="18">
        <f t="shared" si="31"/>
        <v>0.77548418356727633</v>
      </c>
      <c r="BV62" s="18">
        <f t="shared" si="48"/>
        <v>0.62098350029062432</v>
      </c>
      <c r="BW62" s="18">
        <f t="shared" si="49"/>
        <v>0.63433799316180806</v>
      </c>
      <c r="BX62" s="34">
        <f t="shared" si="50"/>
        <v>13.6566091954023</v>
      </c>
      <c r="BY62" s="34">
        <f t="shared" si="51"/>
        <v>13.546874999999998</v>
      </c>
      <c r="BZ62" s="34">
        <f t="shared" si="32"/>
        <v>9.3845956379649103</v>
      </c>
      <c r="CA62" s="34">
        <f t="shared" si="33"/>
        <v>9.1971647620425294</v>
      </c>
      <c r="CB62" s="29">
        <v>1.53</v>
      </c>
      <c r="CC62" s="2">
        <v>3506.9</v>
      </c>
      <c r="CD62" s="2">
        <v>4121.8</v>
      </c>
      <c r="CE62">
        <v>32075</v>
      </c>
      <c r="CF62" t="s">
        <v>234</v>
      </c>
      <c r="CG62" t="str">
        <f>IF(CB62&lt;=1.25,"Keskuslik",IF(CB62&lt;=1.75,"Keskus-tagamaaline","Tagamaaline"))</f>
        <v>Keskus-tagamaaline</v>
      </c>
    </row>
    <row r="63" spans="1:85" ht="14.25" customHeight="1" x14ac:dyDescent="0.35">
      <c r="A63" t="s">
        <v>151</v>
      </c>
      <c r="B63" s="10" t="s">
        <v>67</v>
      </c>
      <c r="C63" s="11">
        <v>373740.01</v>
      </c>
      <c r="D63" s="13"/>
      <c r="E63" s="11">
        <v>5061</v>
      </c>
      <c r="F63" s="11">
        <v>2704730.4100000011</v>
      </c>
      <c r="G63" s="11">
        <v>767633.53000000014</v>
      </c>
      <c r="H63" s="11"/>
      <c r="I63" s="11">
        <v>6346991.8199999994</v>
      </c>
      <c r="J63" s="11">
        <v>382908.19776000007</v>
      </c>
      <c r="K63" s="11">
        <v>829595</v>
      </c>
      <c r="L63" s="12">
        <f t="shared" si="36"/>
        <v>9487423.7100000009</v>
      </c>
      <c r="M63" s="11">
        <v>314031.38</v>
      </c>
      <c r="N63" s="13"/>
      <c r="O63" s="11">
        <v>7932</v>
      </c>
      <c r="P63" s="11">
        <v>2389220.08</v>
      </c>
      <c r="Q63" s="11">
        <v>777142.94000000006</v>
      </c>
      <c r="R63" s="11"/>
      <c r="S63" s="11">
        <v>7208230.3099999996</v>
      </c>
      <c r="T63" s="11">
        <v>409411.72992000007</v>
      </c>
      <c r="U63" s="11">
        <v>1029290.79</v>
      </c>
      <c r="V63" s="12">
        <f t="shared" si="37"/>
        <v>10163629.619999999</v>
      </c>
      <c r="W63" s="11">
        <v>4947369</v>
      </c>
      <c r="X63" s="11">
        <v>206066.62</v>
      </c>
      <c r="Y63" s="11">
        <v>92158.030000000028</v>
      </c>
      <c r="Z63" s="51">
        <f t="shared" si="18"/>
        <v>5245593.6500000004</v>
      </c>
      <c r="AA63" s="11">
        <v>5375059</v>
      </c>
      <c r="AB63" s="11">
        <v>196927</v>
      </c>
      <c r="AC63" s="11">
        <v>256870.68000000011</v>
      </c>
      <c r="AD63" s="51">
        <f t="shared" si="19"/>
        <v>5828856.6799999997</v>
      </c>
      <c r="AE63" s="2">
        <v>1608</v>
      </c>
      <c r="AF63">
        <v>1703</v>
      </c>
      <c r="AG63">
        <v>1800</v>
      </c>
      <c r="AH63" s="2">
        <f t="shared" si="20"/>
        <v>1639.6666666666665</v>
      </c>
      <c r="AI63" s="2">
        <f t="shared" si="21"/>
        <v>1735.3333333333333</v>
      </c>
      <c r="AJ63" s="2">
        <v>84</v>
      </c>
      <c r="AK63" s="2">
        <v>93</v>
      </c>
      <c r="AL63" s="2">
        <v>105</v>
      </c>
      <c r="AM63" s="2">
        <f t="shared" si="22"/>
        <v>87</v>
      </c>
      <c r="AN63" s="2">
        <f t="shared" si="23"/>
        <v>97</v>
      </c>
      <c r="AO63" s="2">
        <v>123.37</v>
      </c>
      <c r="AP63" s="2">
        <v>135.22999999999999</v>
      </c>
      <c r="AQ63" s="2">
        <v>3610895.09</v>
      </c>
      <c r="AR63" s="2">
        <v>3992042.33</v>
      </c>
      <c r="AS63" s="2">
        <f t="shared" si="24"/>
        <v>2439.0688511523599</v>
      </c>
      <c r="AT63" s="2">
        <f t="shared" si="25"/>
        <v>2460.0324940225296</v>
      </c>
      <c r="AU63" s="2">
        <f>Alusharidus!AH63*2/3+Alusharidus!AL63*1/3</f>
        <v>46.333333333333329</v>
      </c>
      <c r="AV63" s="2">
        <f>Alusharidus!AL63*2/3+Alusharidus!AP63*1/3</f>
        <v>50</v>
      </c>
      <c r="AW63" s="18">
        <f t="shared" si="56"/>
        <v>2.7481217872676947E-2</v>
      </c>
      <c r="AX63" s="18">
        <f t="shared" si="57"/>
        <v>2.8005974607916356E-2</v>
      </c>
      <c r="AY63" s="37">
        <f>(L63-I63-1207940.35)*AW63</f>
        <v>53107.221047845036</v>
      </c>
      <c r="AZ63" s="37">
        <f>(V63-S63-1222666.33)*AX63</f>
        <v>48526.875840179222</v>
      </c>
      <c r="BB63" s="41" t="s">
        <v>195</v>
      </c>
      <c r="BC63" s="41" t="s">
        <v>195</v>
      </c>
      <c r="BD63" s="41" t="s">
        <v>195</v>
      </c>
      <c r="BE63" t="s">
        <v>253</v>
      </c>
      <c r="BF63" s="2">
        <f t="shared" si="38"/>
        <v>479.48345644196775</v>
      </c>
      <c r="BG63" s="2">
        <f t="shared" si="39"/>
        <v>322.57531103882906</v>
      </c>
      <c r="BH63" s="2">
        <f t="shared" si="40"/>
        <v>42.162787151860137</v>
      </c>
      <c r="BI63" s="2">
        <f t="shared" si="26"/>
        <v>114.74535825127856</v>
      </c>
      <c r="BJ63" s="2">
        <f t="shared" si="41"/>
        <v>485.74254437955341</v>
      </c>
      <c r="BK63" s="2">
        <f t="shared" si="42"/>
        <v>346.1501301383019</v>
      </c>
      <c r="BL63" s="2">
        <f t="shared" si="43"/>
        <v>49.428101709565887</v>
      </c>
      <c r="BM63" s="2">
        <f t="shared" si="27"/>
        <v>90.164312531685624</v>
      </c>
      <c r="BN63" s="2">
        <f t="shared" si="44"/>
        <v>212.88487695426693</v>
      </c>
      <c r="BO63" s="2">
        <f t="shared" si="45"/>
        <v>256.12558599308807</v>
      </c>
      <c r="BP63" s="2">
        <f t="shared" si="28"/>
        <v>10.472993494612751</v>
      </c>
      <c r="BQ63" s="2">
        <f t="shared" si="46"/>
        <v>205.83202382634556</v>
      </c>
      <c r="BR63" s="2">
        <f t="shared" si="47"/>
        <v>270.45378793699575</v>
      </c>
      <c r="BS63" s="2">
        <f t="shared" si="29"/>
        <v>9.4567326162120935</v>
      </c>
      <c r="BT63" s="18">
        <f t="shared" si="30"/>
        <v>0.67275587239759249</v>
      </c>
      <c r="BU63" s="18">
        <f t="shared" si="31"/>
        <v>0.71262057265427492</v>
      </c>
      <c r="BV63" s="18">
        <f t="shared" si="48"/>
        <v>0.53416980826342053</v>
      </c>
      <c r="BW63" s="18">
        <f t="shared" si="49"/>
        <v>0.55678422873674915</v>
      </c>
      <c r="BX63" s="34">
        <f t="shared" si="50"/>
        <v>18.846743295019156</v>
      </c>
      <c r="BY63" s="34">
        <f t="shared" si="51"/>
        <v>17.890034364261169</v>
      </c>
      <c r="BZ63" s="34">
        <f t="shared" si="32"/>
        <v>13.290643322255544</v>
      </c>
      <c r="CA63" s="34">
        <f t="shared" si="33"/>
        <v>12.832458280953437</v>
      </c>
      <c r="CB63" s="29">
        <v>1.27</v>
      </c>
      <c r="CC63" s="2">
        <v>2787.5</v>
      </c>
      <c r="CD63" s="2">
        <v>3135.6</v>
      </c>
      <c r="CE63">
        <v>14095</v>
      </c>
      <c r="CF63" t="s">
        <v>234</v>
      </c>
      <c r="CG63" t="str">
        <f>IF(CB63&lt;=1.25,"Keskuslik",IF(CB63&lt;=1.75,"Keskus-tagamaaline","Tagamaaline"))</f>
        <v>Keskus-tagamaaline</v>
      </c>
    </row>
    <row r="64" spans="1:85" ht="14.25" customHeight="1" x14ac:dyDescent="0.35">
      <c r="A64" t="s">
        <v>139</v>
      </c>
      <c r="B64" s="10" t="s">
        <v>68</v>
      </c>
      <c r="C64" s="11">
        <v>54250.33</v>
      </c>
      <c r="D64" s="13"/>
      <c r="E64" s="11">
        <v>91368</v>
      </c>
      <c r="F64" s="11">
        <v>869748.66000000015</v>
      </c>
      <c r="G64" s="11">
        <v>551537.92000000004</v>
      </c>
      <c r="H64" s="11"/>
      <c r="I64" s="11">
        <v>2138903.1800000002</v>
      </c>
      <c r="J64" s="11">
        <v>138025.56456</v>
      </c>
      <c r="K64" s="11">
        <v>208352.91</v>
      </c>
      <c r="L64" s="12">
        <f t="shared" si="36"/>
        <v>2719717.1600000006</v>
      </c>
      <c r="M64" s="11">
        <v>70844.430000000008</v>
      </c>
      <c r="N64" s="13"/>
      <c r="O64" s="11">
        <v>57450.67</v>
      </c>
      <c r="P64" s="11">
        <v>927926.67</v>
      </c>
      <c r="Q64" s="11">
        <v>576048.12</v>
      </c>
      <c r="R64" s="11"/>
      <c r="S64" s="11">
        <v>2209228.0699999989</v>
      </c>
      <c r="T64" s="11">
        <v>157673.19810000001</v>
      </c>
      <c r="U64" s="11">
        <v>197010.17</v>
      </c>
      <c r="V64" s="12">
        <f t="shared" si="37"/>
        <v>2828961.2199999988</v>
      </c>
      <c r="W64" s="11">
        <v>1762061</v>
      </c>
      <c r="X64" s="11">
        <v>95735</v>
      </c>
      <c r="Y64" s="11">
        <v>130852.51000000001</v>
      </c>
      <c r="Z64" s="51">
        <f t="shared" si="18"/>
        <v>1988648.51</v>
      </c>
      <c r="AA64" s="11">
        <v>1813202</v>
      </c>
      <c r="AB64" s="11">
        <v>96792</v>
      </c>
      <c r="AC64" s="11">
        <v>153723.91</v>
      </c>
      <c r="AD64" s="51">
        <f t="shared" si="19"/>
        <v>2063717.91</v>
      </c>
      <c r="AE64" s="2">
        <v>475</v>
      </c>
      <c r="AF64">
        <v>487</v>
      </c>
      <c r="AG64">
        <v>483</v>
      </c>
      <c r="AH64" s="2">
        <f t="shared" si="20"/>
        <v>479</v>
      </c>
      <c r="AI64" s="2">
        <f t="shared" si="21"/>
        <v>485.66666666666669</v>
      </c>
      <c r="AJ64" s="2">
        <v>26</v>
      </c>
      <c r="AK64" s="2">
        <v>27</v>
      </c>
      <c r="AL64" s="2">
        <v>27</v>
      </c>
      <c r="AM64" s="2">
        <f t="shared" si="22"/>
        <v>26.333333333333332</v>
      </c>
      <c r="AN64" s="2">
        <f t="shared" si="23"/>
        <v>27</v>
      </c>
      <c r="AO64" s="2">
        <v>43.790000000000013</v>
      </c>
      <c r="AP64" s="2">
        <v>46</v>
      </c>
      <c r="AQ64" s="2">
        <v>1164218.3600000001</v>
      </c>
      <c r="AR64" s="2">
        <v>1203702.24</v>
      </c>
      <c r="AS64" s="2">
        <f t="shared" si="24"/>
        <v>2215.5331506432208</v>
      </c>
      <c r="AT64" s="2">
        <f t="shared" si="25"/>
        <v>2180.62</v>
      </c>
      <c r="AU64" s="2">
        <f>Alusharidus!AH64*2/3+Alusharidus!AL64*1/3</f>
        <v>0</v>
      </c>
      <c r="AV64" s="2">
        <f>Alusharidus!AL64*2/3+Alusharidus!AP64*1/3</f>
        <v>0</v>
      </c>
      <c r="AW64" s="18">
        <f t="shared" si="56"/>
        <v>0</v>
      </c>
      <c r="AX64" s="18">
        <f t="shared" si="57"/>
        <v>0</v>
      </c>
      <c r="AY64" s="40"/>
      <c r="AZ64" s="40"/>
      <c r="BF64" s="2">
        <f t="shared" si="38"/>
        <v>473.15886569241485</v>
      </c>
      <c r="BG64" s="2">
        <f t="shared" si="39"/>
        <v>372.11259220598475</v>
      </c>
      <c r="BH64" s="2">
        <f t="shared" si="40"/>
        <v>36.247896659707727</v>
      </c>
      <c r="BI64" s="2">
        <f t="shared" si="26"/>
        <v>64.798376826722375</v>
      </c>
      <c r="BJ64" s="2">
        <f t="shared" si="41"/>
        <v>485.40858270418647</v>
      </c>
      <c r="BK64" s="2">
        <f t="shared" si="42"/>
        <v>379.0713915579957</v>
      </c>
      <c r="BL64" s="2">
        <f t="shared" si="43"/>
        <v>33.804078586135894</v>
      </c>
      <c r="BM64" s="2">
        <f t="shared" si="27"/>
        <v>72.533112560054889</v>
      </c>
      <c r="BN64" s="2">
        <f t="shared" si="44"/>
        <v>127.18661273486441</v>
      </c>
      <c r="BO64" s="2">
        <f t="shared" si="45"/>
        <v>329.31689457202503</v>
      </c>
      <c r="BP64" s="2">
        <f t="shared" si="28"/>
        <v>16.655358385525403</v>
      </c>
      <c r="BQ64" s="2">
        <f t="shared" si="46"/>
        <v>131.3046173644473</v>
      </c>
      <c r="BR64" s="2">
        <f t="shared" si="47"/>
        <v>337.4958665065202</v>
      </c>
      <c r="BS64" s="2">
        <f t="shared" si="29"/>
        <v>16.608098833218946</v>
      </c>
      <c r="BT64" s="18">
        <f t="shared" si="30"/>
        <v>0.78644324176709612</v>
      </c>
      <c r="BU64" s="18">
        <f t="shared" si="31"/>
        <v>0.78093261030987193</v>
      </c>
      <c r="BV64" s="18">
        <f t="shared" si="48"/>
        <v>0.6959964579552087</v>
      </c>
      <c r="BW64" s="18">
        <f t="shared" si="49"/>
        <v>0.69528203359394258</v>
      </c>
      <c r="BX64" s="34">
        <f t="shared" si="50"/>
        <v>18.189873417721518</v>
      </c>
      <c r="BY64" s="34">
        <f t="shared" si="51"/>
        <v>17.987654320987655</v>
      </c>
      <c r="BZ64" s="34">
        <f t="shared" si="32"/>
        <v>10.938570449874398</v>
      </c>
      <c r="CA64" s="34">
        <f t="shared" si="33"/>
        <v>10.557971014492754</v>
      </c>
      <c r="CB64" s="29">
        <v>1.45</v>
      </c>
      <c r="CC64" s="2">
        <v>3841</v>
      </c>
      <c r="CD64" s="2">
        <v>3942</v>
      </c>
      <c r="CE64">
        <v>6063</v>
      </c>
      <c r="CF64" t="s">
        <v>234</v>
      </c>
      <c r="CG64" t="str">
        <f>IF(CB64&lt;=1.25,"Keskuslik",IF(CB64&lt;=1.75,"Keskus-tagamaaline","Tagamaaline"))</f>
        <v>Keskus-tagamaaline</v>
      </c>
    </row>
    <row r="65" spans="1:85" ht="14.25" customHeight="1" x14ac:dyDescent="0.35">
      <c r="A65" t="s">
        <v>127</v>
      </c>
      <c r="B65" s="10" t="s">
        <v>69</v>
      </c>
      <c r="C65" s="11">
        <v>68945.7</v>
      </c>
      <c r="D65" s="13"/>
      <c r="E65" s="13"/>
      <c r="F65" s="11">
        <v>529249.65</v>
      </c>
      <c r="G65" s="11">
        <v>171962.52</v>
      </c>
      <c r="H65" s="11">
        <v>14589.25</v>
      </c>
      <c r="I65" s="11">
        <v>2108789.62</v>
      </c>
      <c r="J65" s="11">
        <v>86745.550500000012</v>
      </c>
      <c r="K65" s="11">
        <v>166595.21</v>
      </c>
      <c r="L65" s="12">
        <f t="shared" si="36"/>
        <v>2701617.66</v>
      </c>
      <c r="M65" s="11">
        <v>77920.39</v>
      </c>
      <c r="N65" s="13"/>
      <c r="O65" s="11">
        <v>1178.57</v>
      </c>
      <c r="P65" s="11">
        <v>566812.5299999998</v>
      </c>
      <c r="Q65" s="11">
        <v>178953.3</v>
      </c>
      <c r="R65" s="11">
        <v>16997.86</v>
      </c>
      <c r="S65" s="11">
        <v>2154535.3899999992</v>
      </c>
      <c r="T65" s="11">
        <v>91803.43134000001</v>
      </c>
      <c r="U65" s="11">
        <v>161680.6</v>
      </c>
      <c r="V65" s="12">
        <f t="shared" si="37"/>
        <v>2781995.6099999994</v>
      </c>
      <c r="W65" s="11">
        <v>1635845</v>
      </c>
      <c r="X65" s="11">
        <v>78234</v>
      </c>
      <c r="Y65" s="11">
        <v>23154.33</v>
      </c>
      <c r="Z65" s="51">
        <f t="shared" si="18"/>
        <v>1737233.33</v>
      </c>
      <c r="AA65" s="11">
        <v>1676066</v>
      </c>
      <c r="AB65" s="11">
        <v>80660</v>
      </c>
      <c r="AC65" s="11">
        <v>103010.22</v>
      </c>
      <c r="AD65" s="51">
        <f t="shared" si="19"/>
        <v>1859736.22</v>
      </c>
      <c r="AE65" s="2">
        <v>508</v>
      </c>
      <c r="AF65">
        <v>491</v>
      </c>
      <c r="AG65">
        <v>521</v>
      </c>
      <c r="AH65" s="2">
        <f t="shared" si="20"/>
        <v>502.33333333333337</v>
      </c>
      <c r="AI65" s="2">
        <f t="shared" si="21"/>
        <v>501</v>
      </c>
      <c r="AJ65" s="2">
        <v>27</v>
      </c>
      <c r="AK65" s="2">
        <v>27</v>
      </c>
      <c r="AL65" s="2">
        <v>29</v>
      </c>
      <c r="AM65" s="2">
        <f t="shared" si="22"/>
        <v>27</v>
      </c>
      <c r="AN65" s="2">
        <f t="shared" si="23"/>
        <v>27.666666666666664</v>
      </c>
      <c r="AO65" s="2">
        <v>39.68</v>
      </c>
      <c r="AP65" s="2">
        <v>40.67</v>
      </c>
      <c r="AQ65" s="2">
        <v>1107262.1200000001</v>
      </c>
      <c r="AR65" s="2">
        <v>1101192.56</v>
      </c>
      <c r="AS65" s="2">
        <f t="shared" si="24"/>
        <v>2325.3992775537636</v>
      </c>
      <c r="AT65" s="2">
        <f t="shared" si="25"/>
        <v>2256.3571838373905</v>
      </c>
      <c r="AU65" s="2">
        <f>Alusharidus!AH65*2/3+Alusharidus!AL65*1/3</f>
        <v>0</v>
      </c>
      <c r="AV65" s="2">
        <f>Alusharidus!AL65*2/3+Alusharidus!AP65*1/3</f>
        <v>0</v>
      </c>
      <c r="AW65" s="18">
        <f t="shared" si="56"/>
        <v>0</v>
      </c>
      <c r="AX65" s="18">
        <f t="shared" si="57"/>
        <v>0</v>
      </c>
      <c r="AY65" s="40"/>
      <c r="AZ65" s="40"/>
      <c r="BF65" s="2">
        <f t="shared" si="38"/>
        <v>448.17811214333113</v>
      </c>
      <c r="BG65" s="2">
        <f t="shared" si="39"/>
        <v>349.83238553417385</v>
      </c>
      <c r="BH65" s="2">
        <f t="shared" si="40"/>
        <v>30.057143331121427</v>
      </c>
      <c r="BI65" s="2">
        <f t="shared" si="26"/>
        <v>68.288583278035858</v>
      </c>
      <c r="BJ65" s="2">
        <f t="shared" si="41"/>
        <v>462.74045409181628</v>
      </c>
      <c r="BK65" s="2">
        <f t="shared" si="42"/>
        <v>358.37248669328</v>
      </c>
      <c r="BL65" s="2">
        <f t="shared" si="43"/>
        <v>29.720302727877581</v>
      </c>
      <c r="BM65" s="2">
        <f t="shared" si="27"/>
        <v>74.647664670658699</v>
      </c>
      <c r="BN65" s="2">
        <f t="shared" si="44"/>
        <v>159.9841290643663</v>
      </c>
      <c r="BO65" s="2">
        <f t="shared" si="45"/>
        <v>275.21554910418047</v>
      </c>
      <c r="BP65" s="2">
        <f t="shared" si="28"/>
        <v>12.978433974784366</v>
      </c>
      <c r="BQ65" s="2">
        <f t="shared" si="46"/>
        <v>153.40309214903516</v>
      </c>
      <c r="BR65" s="2">
        <f t="shared" si="47"/>
        <v>295.92086161011309</v>
      </c>
      <c r="BS65" s="2">
        <f t="shared" si="29"/>
        <v>13.416500332668022</v>
      </c>
      <c r="BT65" s="18">
        <f t="shared" si="30"/>
        <v>0.78056552976485949</v>
      </c>
      <c r="BU65" s="18">
        <f t="shared" si="31"/>
        <v>0.77445679003066425</v>
      </c>
      <c r="BV65" s="18">
        <f t="shared" si="48"/>
        <v>0.6140762827261057</v>
      </c>
      <c r="BW65" s="18">
        <f t="shared" si="49"/>
        <v>0.63949641530886536</v>
      </c>
      <c r="BX65" s="34">
        <f t="shared" si="50"/>
        <v>18.60493827160494</v>
      </c>
      <c r="BY65" s="34">
        <f t="shared" si="51"/>
        <v>18.108433734939762</v>
      </c>
      <c r="BZ65" s="34">
        <f t="shared" si="32"/>
        <v>12.659610215053764</v>
      </c>
      <c r="CA65" s="34">
        <f t="shared" si="33"/>
        <v>12.318662404720923</v>
      </c>
      <c r="CB65" s="29">
        <v>1.67</v>
      </c>
      <c r="CC65" s="2">
        <v>3565.7</v>
      </c>
      <c r="CD65" s="2">
        <v>3987.9</v>
      </c>
      <c r="CE65">
        <v>4551</v>
      </c>
      <c r="CF65" t="s">
        <v>234</v>
      </c>
      <c r="CG65" t="str">
        <f>IF(CB65&lt;=1.25,"Keskuslik",IF(CB65&lt;=1.75,"Keskus-tagamaaline","Tagamaaline"))</f>
        <v>Keskus-tagamaaline</v>
      </c>
    </row>
    <row r="66" spans="1:85" ht="14.25" customHeight="1" x14ac:dyDescent="0.35">
      <c r="A66" t="s">
        <v>124</v>
      </c>
      <c r="B66" s="10" t="s">
        <v>70</v>
      </c>
      <c r="C66" s="11">
        <v>69210.78</v>
      </c>
      <c r="D66" s="13"/>
      <c r="E66" s="13"/>
      <c r="F66" s="11">
        <v>544154.33000000019</v>
      </c>
      <c r="G66" s="11">
        <v>160049.07</v>
      </c>
      <c r="H66" s="11"/>
      <c r="I66" s="11">
        <v>2346227.27</v>
      </c>
      <c r="J66" s="11">
        <v>161287.51074</v>
      </c>
      <c r="K66" s="11">
        <v>248952.25</v>
      </c>
      <c r="L66" s="12">
        <f t="shared" si="36"/>
        <v>3048495.5600000005</v>
      </c>
      <c r="M66" s="11">
        <v>74041.759999999995</v>
      </c>
      <c r="N66" s="13"/>
      <c r="O66" s="13"/>
      <c r="P66" s="11">
        <v>593492.56999999995</v>
      </c>
      <c r="Q66" s="11">
        <v>156090.18</v>
      </c>
      <c r="R66" s="11"/>
      <c r="S66" s="11">
        <v>2499062.61</v>
      </c>
      <c r="T66" s="11">
        <v>189625.14653999999</v>
      </c>
      <c r="U66" s="11">
        <v>150479.46</v>
      </c>
      <c r="V66" s="12">
        <f t="shared" si="37"/>
        <v>3160986.2199999997</v>
      </c>
      <c r="W66" s="11">
        <v>1793861</v>
      </c>
      <c r="X66" s="11">
        <v>60180</v>
      </c>
      <c r="Y66" s="11">
        <v>36891.770000000004</v>
      </c>
      <c r="Z66" s="51">
        <f t="shared" si="18"/>
        <v>1890932.77</v>
      </c>
      <c r="AA66" s="11">
        <v>1910720</v>
      </c>
      <c r="AB66" s="11">
        <v>58750.99</v>
      </c>
      <c r="AC66" s="11">
        <v>80093.540000000008</v>
      </c>
      <c r="AD66" s="51">
        <f t="shared" si="19"/>
        <v>2049564.53</v>
      </c>
      <c r="AE66" s="2">
        <v>386</v>
      </c>
      <c r="AF66">
        <v>407</v>
      </c>
      <c r="AG66">
        <v>403</v>
      </c>
      <c r="AH66" s="2">
        <f t="shared" si="20"/>
        <v>393</v>
      </c>
      <c r="AI66" s="2">
        <f t="shared" si="21"/>
        <v>405.66666666666663</v>
      </c>
      <c r="AJ66" s="2">
        <v>37</v>
      </c>
      <c r="AK66" s="2">
        <v>36</v>
      </c>
      <c r="AL66" s="2">
        <v>34</v>
      </c>
      <c r="AM66" s="2">
        <f t="shared" si="22"/>
        <v>36.666666666666671</v>
      </c>
      <c r="AN66" s="2">
        <f t="shared" si="23"/>
        <v>35.333333333333336</v>
      </c>
      <c r="AO66" s="2">
        <v>45.9</v>
      </c>
      <c r="AP66" s="2">
        <v>46.31</v>
      </c>
      <c r="AQ66" s="2">
        <v>1144532.5900000001</v>
      </c>
      <c r="AR66" s="2">
        <v>1142735.75</v>
      </c>
      <c r="AS66" s="2">
        <f t="shared" si="24"/>
        <v>2077.9458787218596</v>
      </c>
      <c r="AT66" s="2">
        <f t="shared" si="25"/>
        <v>2056.3156805585545</v>
      </c>
      <c r="AU66" s="2">
        <f>Alusharidus!AH66*2/3+Alusharidus!AL66*1/3</f>
        <v>59</v>
      </c>
      <c r="AV66" s="2">
        <f>Alusharidus!AL66*2/3+Alusharidus!AP66*1/3</f>
        <v>42.333333333333336</v>
      </c>
      <c r="AW66" s="18">
        <f t="shared" si="56"/>
        <v>0.13053097345132744</v>
      </c>
      <c r="AX66" s="18">
        <f t="shared" si="57"/>
        <v>9.449404761904763E-2</v>
      </c>
      <c r="AY66" s="37">
        <f>(L66-I66-209845.48)*AW66</f>
        <v>64276.428738938128</v>
      </c>
      <c r="AZ66" s="37">
        <f>(V66-S66-209601.55)*AX66</f>
        <v>42741.742276785706</v>
      </c>
      <c r="BB66" s="41" t="s">
        <v>195</v>
      </c>
      <c r="BD66" s="41" t="s">
        <v>195</v>
      </c>
      <c r="BE66" t="s">
        <v>254</v>
      </c>
      <c r="BF66" s="2">
        <f t="shared" si="38"/>
        <v>632.7860753310141</v>
      </c>
      <c r="BG66" s="2">
        <f t="shared" si="39"/>
        <v>497.50366200169634</v>
      </c>
      <c r="BH66" s="2">
        <f t="shared" si="40"/>
        <v>52.788857082273118</v>
      </c>
      <c r="BI66" s="2">
        <f t="shared" si="26"/>
        <v>82.493556247044637</v>
      </c>
      <c r="BJ66" s="2">
        <f t="shared" si="41"/>
        <v>640.55967085522059</v>
      </c>
      <c r="BK66" s="2">
        <f t="shared" si="42"/>
        <v>513.36536770747739</v>
      </c>
      <c r="BL66" s="2">
        <f t="shared" si="43"/>
        <v>30.911967953985211</v>
      </c>
      <c r="BM66" s="2">
        <f t="shared" si="27"/>
        <v>96.282335193757987</v>
      </c>
      <c r="BN66" s="2">
        <f t="shared" si="44"/>
        <v>231.82492817240507</v>
      </c>
      <c r="BO66" s="2">
        <f t="shared" si="45"/>
        <v>388.20033290924516</v>
      </c>
      <c r="BP66" s="2">
        <f t="shared" si="28"/>
        <v>12.760814249363875</v>
      </c>
      <c r="BQ66" s="2">
        <f t="shared" si="46"/>
        <v>219.53162442958379</v>
      </c>
      <c r="BR66" s="2">
        <f t="shared" si="47"/>
        <v>408.95923171733779</v>
      </c>
      <c r="BS66" s="2">
        <f t="shared" si="29"/>
        <v>12.068814708299044</v>
      </c>
      <c r="BT66" s="18">
        <f t="shared" si="30"/>
        <v>0.78621145659921365</v>
      </c>
      <c r="BU66" s="18">
        <f t="shared" si="31"/>
        <v>0.80143254573313327</v>
      </c>
      <c r="BV66" s="18">
        <f t="shared" si="48"/>
        <v>0.61347799523903124</v>
      </c>
      <c r="BW66" s="18">
        <f t="shared" si="49"/>
        <v>0.63844049247017109</v>
      </c>
      <c r="BX66" s="34">
        <f t="shared" si="50"/>
        <v>10.718181818181817</v>
      </c>
      <c r="BY66" s="34">
        <f t="shared" si="51"/>
        <v>11.481132075471697</v>
      </c>
      <c r="BZ66" s="34">
        <f t="shared" si="32"/>
        <v>8.5620915032679736</v>
      </c>
      <c r="CA66" s="34">
        <f t="shared" si="33"/>
        <v>8.759807097099257</v>
      </c>
      <c r="CB66" s="29">
        <v>2.09</v>
      </c>
      <c r="CC66" s="2">
        <v>5683.7</v>
      </c>
      <c r="CD66" s="2">
        <v>5664.3</v>
      </c>
      <c r="CE66">
        <v>5279</v>
      </c>
      <c r="CF66" t="s">
        <v>234</v>
      </c>
      <c r="CG66" t="str">
        <f>IF(CB66&lt;=1.25,"Keskuslik",IF(CB66&lt;=1.75,"Keskus-tagamaaline","Tagamaaline"))</f>
        <v>Tagamaaline</v>
      </c>
    </row>
    <row r="67" spans="1:85" ht="14.25" customHeight="1" x14ac:dyDescent="0.35">
      <c r="A67" t="s">
        <v>104</v>
      </c>
      <c r="B67" s="10" t="s">
        <v>71</v>
      </c>
      <c r="C67" s="11">
        <v>1120057.93</v>
      </c>
      <c r="D67" s="11">
        <v>1995.06</v>
      </c>
      <c r="E67" s="11">
        <v>37200</v>
      </c>
      <c r="F67" s="11">
        <v>7367130.0999999987</v>
      </c>
      <c r="G67" s="11">
        <v>804351.89</v>
      </c>
      <c r="H67" s="11">
        <v>55781</v>
      </c>
      <c r="I67" s="11">
        <v>51012726.770000003</v>
      </c>
      <c r="J67" s="11">
        <v>3148861.8441000003</v>
      </c>
      <c r="K67" s="11">
        <v>5268678.290000001</v>
      </c>
      <c r="L67" s="12">
        <f t="shared" si="36"/>
        <v>63966236.259999998</v>
      </c>
      <c r="M67" s="11">
        <v>1339353.3400000001</v>
      </c>
      <c r="N67" s="11">
        <v>3897.21</v>
      </c>
      <c r="O67" s="11">
        <v>48738</v>
      </c>
      <c r="P67" s="11">
        <v>8110374.29</v>
      </c>
      <c r="Q67" s="11">
        <v>714587.78</v>
      </c>
      <c r="R67" s="11">
        <v>22096</v>
      </c>
      <c r="S67" s="11">
        <v>50821900.990000002</v>
      </c>
      <c r="T67" s="11">
        <v>3086201.7252600002</v>
      </c>
      <c r="U67" s="11">
        <v>5074155.54</v>
      </c>
      <c r="V67" s="12">
        <f t="shared" si="37"/>
        <v>64635093.589999996</v>
      </c>
      <c r="W67" s="11">
        <v>41225220</v>
      </c>
      <c r="X67" s="11">
        <v>2922162.7999999989</v>
      </c>
      <c r="Y67" s="11">
        <v>2623529.450000002</v>
      </c>
      <c r="Z67" s="51">
        <f t="shared" si="18"/>
        <v>46770912.25</v>
      </c>
      <c r="AA67" s="11">
        <v>41895386</v>
      </c>
      <c r="AB67" s="11">
        <v>3001325.8</v>
      </c>
      <c r="AC67" s="11">
        <v>2901696.0900000008</v>
      </c>
      <c r="AD67" s="51">
        <f t="shared" si="19"/>
        <v>47798407.890000001</v>
      </c>
      <c r="AE67" s="2">
        <v>13172</v>
      </c>
      <c r="AF67">
        <v>13153</v>
      </c>
      <c r="AG67">
        <v>12901</v>
      </c>
      <c r="AH67" s="2">
        <f t="shared" si="20"/>
        <v>13165.666666666668</v>
      </c>
      <c r="AI67" s="2">
        <f t="shared" si="21"/>
        <v>13069</v>
      </c>
      <c r="AJ67" s="2">
        <v>720</v>
      </c>
      <c r="AK67" s="2">
        <v>710</v>
      </c>
      <c r="AL67" s="2">
        <v>688</v>
      </c>
      <c r="AM67" s="2">
        <f t="shared" si="22"/>
        <v>716.66666666666663</v>
      </c>
      <c r="AN67" s="2">
        <f t="shared" si="23"/>
        <v>702.66666666666663</v>
      </c>
      <c r="AO67" s="2">
        <v>976</v>
      </c>
      <c r="AP67" s="2">
        <v>967.25</v>
      </c>
      <c r="AQ67" s="2">
        <v>28230716.890000001</v>
      </c>
      <c r="AR67" s="2">
        <v>27861839.719999999</v>
      </c>
      <c r="AS67" s="2">
        <f t="shared" si="24"/>
        <v>2410.4095705259565</v>
      </c>
      <c r="AT67" s="2">
        <f t="shared" si="25"/>
        <v>2400.4341966054967</v>
      </c>
      <c r="AU67" s="2">
        <f>Alusharidus!AH67*2/3+Alusharidus!AL67*1/3</f>
        <v>7.3333333333333339</v>
      </c>
      <c r="AV67" s="2">
        <f>Alusharidus!AL67*2/3+Alusharidus!AP67*1/3</f>
        <v>7</v>
      </c>
      <c r="AW67" s="18">
        <f t="shared" si="56"/>
        <v>5.5669424833624333E-4</v>
      </c>
      <c r="AX67" s="18">
        <f t="shared" si="57"/>
        <v>5.3533190578158461E-4</v>
      </c>
      <c r="AY67" s="2">
        <f>L67*AW67</f>
        <v>35609.635813659253</v>
      </c>
      <c r="AZ67" s="2">
        <f>V67*AX67</f>
        <v>34601.22783190578</v>
      </c>
      <c r="BF67" s="2">
        <f t="shared" si="38"/>
        <v>404.654952427946</v>
      </c>
      <c r="BG67" s="2">
        <f t="shared" si="39"/>
        <v>322.88988258601916</v>
      </c>
      <c r="BH67" s="2">
        <f t="shared" si="40"/>
        <v>33.70166905081399</v>
      </c>
      <c r="BI67" s="2">
        <f t="shared" si="26"/>
        <v>48.063400791112855</v>
      </c>
      <c r="BJ67" s="2">
        <f t="shared" si="41"/>
        <v>411.91937895125926</v>
      </c>
      <c r="BK67" s="2">
        <f t="shared" si="42"/>
        <v>324.06139841099804</v>
      </c>
      <c r="BL67" s="2">
        <f t="shared" si="43"/>
        <v>32.495801387507335</v>
      </c>
      <c r="BM67" s="2">
        <f t="shared" si="27"/>
        <v>55.362179152753889</v>
      </c>
      <c r="BN67" s="2">
        <f t="shared" si="44"/>
        <v>108.61403634571194</v>
      </c>
      <c r="BO67" s="2">
        <f t="shared" si="45"/>
        <v>277.54481004886446</v>
      </c>
      <c r="BP67" s="2">
        <f t="shared" si="28"/>
        <v>18.496106033369585</v>
      </c>
      <c r="BQ67" s="2">
        <f t="shared" si="46"/>
        <v>107.13701935985978</v>
      </c>
      <c r="BR67" s="2">
        <f t="shared" si="47"/>
        <v>285.64466861784888</v>
      </c>
      <c r="BS67" s="2">
        <f t="shared" si="29"/>
        <v>19.137690973550605</v>
      </c>
      <c r="BT67" s="18">
        <f t="shared" si="30"/>
        <v>0.79793878871039847</v>
      </c>
      <c r="BU67" s="18">
        <f t="shared" si="31"/>
        <v>0.78671073751386411</v>
      </c>
      <c r="BV67" s="18">
        <f t="shared" si="48"/>
        <v>0.68588017614410612</v>
      </c>
      <c r="BW67" s="18">
        <f t="shared" si="49"/>
        <v>0.69344799787059308</v>
      </c>
      <c r="BX67" s="34">
        <f t="shared" si="50"/>
        <v>18.370697674418608</v>
      </c>
      <c r="BY67" s="34">
        <f t="shared" si="51"/>
        <v>18.599146110056928</v>
      </c>
      <c r="BZ67" s="34">
        <f t="shared" si="32"/>
        <v>13.489412568306012</v>
      </c>
      <c r="CA67" s="34">
        <f t="shared" si="33"/>
        <v>13.511501680020677</v>
      </c>
      <c r="CB67" s="29">
        <v>1.03</v>
      </c>
      <c r="CC67" s="2">
        <v>1192</v>
      </c>
      <c r="CD67" s="2">
        <v>1228.0999999999999</v>
      </c>
      <c r="CE67">
        <v>98257</v>
      </c>
      <c r="CF67" t="s">
        <v>233</v>
      </c>
      <c r="CG67" t="s">
        <v>287</v>
      </c>
    </row>
    <row r="68" spans="1:85" ht="14.25" customHeight="1" x14ac:dyDescent="0.35">
      <c r="A68" t="s">
        <v>103</v>
      </c>
      <c r="B68" s="10" t="s">
        <v>72</v>
      </c>
      <c r="C68" s="11">
        <v>186284.05</v>
      </c>
      <c r="D68" s="13"/>
      <c r="E68" s="13"/>
      <c r="F68" s="11">
        <v>1705791.2599999991</v>
      </c>
      <c r="G68" s="11">
        <v>626107.39</v>
      </c>
      <c r="H68" s="11">
        <v>809.16</v>
      </c>
      <c r="I68" s="11">
        <v>6590597.1599999992</v>
      </c>
      <c r="J68" s="11">
        <v>451365.25511999999</v>
      </c>
      <c r="K68" s="11">
        <v>890609.69000000006</v>
      </c>
      <c r="L68" s="12">
        <f t="shared" ref="L68:L82" si="58">C68+D68+F68+I68+K68-G68</f>
        <v>8747174.7699999977</v>
      </c>
      <c r="M68" s="11">
        <v>257503.42</v>
      </c>
      <c r="N68" s="13"/>
      <c r="O68" s="11">
        <v>4071</v>
      </c>
      <c r="P68" s="11">
        <v>2047091.050000001</v>
      </c>
      <c r="Q68" s="11">
        <v>699291.4800000001</v>
      </c>
      <c r="R68" s="11"/>
      <c r="S68" s="11">
        <v>6902660.8399999999</v>
      </c>
      <c r="T68" s="11">
        <v>522822.72396000003</v>
      </c>
      <c r="U68" s="11">
        <v>766025.34000000008</v>
      </c>
      <c r="V68" s="12">
        <f t="shared" ref="V68:V82" si="59">M68+N68+P68+S68+U68-Q68</f>
        <v>9273989.1699999999</v>
      </c>
      <c r="W68" s="11">
        <v>5130344</v>
      </c>
      <c r="X68" s="11">
        <v>164210</v>
      </c>
      <c r="Y68" s="11">
        <v>58489.929999999993</v>
      </c>
      <c r="Z68" s="51">
        <f t="shared" si="18"/>
        <v>5353043.93</v>
      </c>
      <c r="AA68" s="11">
        <v>5374406</v>
      </c>
      <c r="AB68" s="11">
        <v>188897</v>
      </c>
      <c r="AC68" s="11">
        <v>214545.63</v>
      </c>
      <c r="AD68" s="51">
        <f t="shared" si="19"/>
        <v>5777848.6299999999</v>
      </c>
      <c r="AE68" s="2">
        <v>1448</v>
      </c>
      <c r="AF68">
        <v>1488</v>
      </c>
      <c r="AG68">
        <v>1579</v>
      </c>
      <c r="AH68" s="2">
        <f t="shared" si="20"/>
        <v>1461.3333333333335</v>
      </c>
      <c r="AI68" s="2">
        <f t="shared" si="21"/>
        <v>1518.3333333333335</v>
      </c>
      <c r="AJ68" s="2">
        <v>89</v>
      </c>
      <c r="AK68" s="2">
        <v>94</v>
      </c>
      <c r="AL68" s="2">
        <v>100</v>
      </c>
      <c r="AM68" s="2">
        <f t="shared" si="22"/>
        <v>90.666666666666671</v>
      </c>
      <c r="AN68" s="2">
        <f t="shared" si="23"/>
        <v>96</v>
      </c>
      <c r="AO68" s="2">
        <v>137.07</v>
      </c>
      <c r="AP68" s="2">
        <v>144.72</v>
      </c>
      <c r="AQ68" s="2">
        <v>3382098.23</v>
      </c>
      <c r="AR68" s="2">
        <v>3596291.74</v>
      </c>
      <c r="AS68" s="2">
        <f t="shared" si="24"/>
        <v>2056.186759806425</v>
      </c>
      <c r="AT68" s="2">
        <f t="shared" si="25"/>
        <v>2070.8331836189423</v>
      </c>
      <c r="AU68" s="2">
        <f>Alusharidus!AH68*2/3+Alusharidus!AL68*1/3</f>
        <v>70.666666666666657</v>
      </c>
      <c r="AV68" s="2">
        <f>Alusharidus!AL68*2/3+Alusharidus!AP68*1/3</f>
        <v>77.333333333333329</v>
      </c>
      <c r="AW68" s="18">
        <f t="shared" si="56"/>
        <v>4.6127067014795464E-2</v>
      </c>
      <c r="AX68" s="18">
        <f t="shared" si="57"/>
        <v>4.8464591602256107E-2</v>
      </c>
      <c r="AY68" s="40"/>
      <c r="AZ68" s="40"/>
      <c r="BA68" s="25" t="s">
        <v>195</v>
      </c>
      <c r="BF68" s="2">
        <f t="shared" ref="BF68:BF83" si="60">(L68-AY68)/AH68/12</f>
        <v>498.81242985857648</v>
      </c>
      <c r="BG68" s="2">
        <f t="shared" ref="BG68:BG83" si="61">I68/AH68/12</f>
        <v>375.83241104014587</v>
      </c>
      <c r="BH68" s="2">
        <f t="shared" ref="BH68:BH83" si="62">(H68+K68)/AH68/12</f>
        <v>50.833647924270075</v>
      </c>
      <c r="BI68" s="2">
        <f t="shared" si="26"/>
        <v>72.146370894160526</v>
      </c>
      <c r="BJ68" s="2">
        <f t="shared" ref="BJ68:BJ83" si="63">(V68-AZ68)/AI68/12</f>
        <v>509.00050329308448</v>
      </c>
      <c r="BK68" s="2">
        <f t="shared" ref="BK68:BK83" si="64">S68/AI68/12</f>
        <v>378.85075960482982</v>
      </c>
      <c r="BL68" s="2">
        <f t="shared" ref="BL68:BL83" si="65">(R68+U68)/AI68/12</f>
        <v>42.04310318331504</v>
      </c>
      <c r="BM68" s="2">
        <f t="shared" si="27"/>
        <v>88.10664050493962</v>
      </c>
      <c r="BN68" s="2">
        <f t="shared" ref="BN68:BN83" si="66">(L68-AY68-Z68)/AH68/12</f>
        <v>193.55216925182469</v>
      </c>
      <c r="BO68" s="2">
        <f t="shared" ref="BO68:BO83" si="67">(W68+Y68)/AH68/12</f>
        <v>295.89609546076639</v>
      </c>
      <c r="BP68" s="2">
        <f t="shared" si="28"/>
        <v>9.3641651459853961</v>
      </c>
      <c r="BQ68" s="2">
        <f t="shared" ref="BQ68:BQ83" si="68">(V68-AZ68-AD68)/AI68/12</f>
        <v>191.88477167947306</v>
      </c>
      <c r="BR68" s="2">
        <f t="shared" ref="BR68:BR83" si="69">(AA68+AC68)/AI68/12</f>
        <v>306.74816849615803</v>
      </c>
      <c r="BS68" s="2">
        <f t="shared" si="29"/>
        <v>10.367563117453358</v>
      </c>
      <c r="BT68" s="18">
        <f t="shared" si="30"/>
        <v>0.75345438193411107</v>
      </c>
      <c r="BU68" s="18">
        <f t="shared" si="31"/>
        <v>0.74430331041674058</v>
      </c>
      <c r="BV68" s="18">
        <f t="shared" ref="BV68:BV83" si="70">(W68+Y68)/(L68-AY68)</f>
        <v>0.59320112681365811</v>
      </c>
      <c r="BW68" s="18">
        <f t="shared" ref="BW68:BW83" si="71">(AA68+AC68)/(V68-AZ68)</f>
        <v>0.60264806520148217</v>
      </c>
      <c r="BX68" s="34">
        <f t="shared" ref="BX68:BX83" si="72">AH68/AM68</f>
        <v>16.117647058823529</v>
      </c>
      <c r="BY68" s="34">
        <f t="shared" ref="BY68:BY83" si="73">AI68/AN68</f>
        <v>15.815972222222223</v>
      </c>
      <c r="BZ68" s="34">
        <f t="shared" si="32"/>
        <v>10.66121932832373</v>
      </c>
      <c r="CA68" s="34">
        <f t="shared" si="33"/>
        <v>10.491523862170629</v>
      </c>
      <c r="CB68" s="29">
        <v>1.69</v>
      </c>
      <c r="CC68" s="2">
        <v>3471.8</v>
      </c>
      <c r="CD68" s="2">
        <v>3765</v>
      </c>
      <c r="CE68">
        <v>13398</v>
      </c>
      <c r="CF68" t="s">
        <v>234</v>
      </c>
      <c r="CG68" t="str">
        <f t="shared" ref="CG68:CG82" si="74">IF(CB68&lt;=1.25,"Keskuslik",IF(CB68&lt;=1.75,"Keskus-tagamaaline","Tagamaaline"))</f>
        <v>Keskus-tagamaaline</v>
      </c>
    </row>
    <row r="69" spans="1:85" ht="14.25" customHeight="1" x14ac:dyDescent="0.35">
      <c r="A69" t="s">
        <v>162</v>
      </c>
      <c r="B69" s="10" t="s">
        <v>73</v>
      </c>
      <c r="C69" s="11">
        <v>217339.75</v>
      </c>
      <c r="D69" s="13"/>
      <c r="E69" s="11">
        <v>7700</v>
      </c>
      <c r="F69" s="11">
        <v>1512718.5399999991</v>
      </c>
      <c r="G69" s="11">
        <v>256639.6</v>
      </c>
      <c r="H69" s="11">
        <v>18893.72</v>
      </c>
      <c r="I69" s="11">
        <v>7583491.4700000007</v>
      </c>
      <c r="J69" s="11">
        <v>265882.90446000005</v>
      </c>
      <c r="K69" s="11">
        <v>644113.83000000007</v>
      </c>
      <c r="L69" s="12">
        <f t="shared" si="58"/>
        <v>9701023.9900000002</v>
      </c>
      <c r="M69" s="11">
        <v>277708.95</v>
      </c>
      <c r="N69" s="13"/>
      <c r="O69" s="11">
        <v>8158</v>
      </c>
      <c r="P69" s="11">
        <v>1747380.61</v>
      </c>
      <c r="Q69" s="11">
        <v>277687.73</v>
      </c>
      <c r="R69" s="11">
        <v>1900</v>
      </c>
      <c r="S69" s="11">
        <v>7932761.5400000019</v>
      </c>
      <c r="T69" s="11">
        <v>245545.18403999999</v>
      </c>
      <c r="U69" s="11">
        <v>746969.12</v>
      </c>
      <c r="V69" s="12">
        <f t="shared" si="59"/>
        <v>10427132.49</v>
      </c>
      <c r="W69" s="11">
        <v>6195761</v>
      </c>
      <c r="X69" s="11">
        <v>173808</v>
      </c>
      <c r="Y69" s="11">
        <v>237697.96000000002</v>
      </c>
      <c r="Z69" s="51">
        <f t="shared" ref="Z69:Z82" si="75">SUM(W69:Y69)</f>
        <v>6607266.96</v>
      </c>
      <c r="AA69" s="11">
        <v>6319665</v>
      </c>
      <c r="AB69" s="11">
        <v>198271</v>
      </c>
      <c r="AC69" s="11">
        <v>633878.72</v>
      </c>
      <c r="AD69" s="51">
        <f t="shared" ref="AD69:AD82" si="76">SUM(AA69:AC69)</f>
        <v>7151814.7199999997</v>
      </c>
      <c r="AE69" s="2">
        <v>1737</v>
      </c>
      <c r="AF69">
        <v>1739</v>
      </c>
      <c r="AG69">
        <v>1745</v>
      </c>
      <c r="AH69" s="2">
        <f t="shared" ref="AH69:AH82" si="77">AE69*2/3+AF69*1/3</f>
        <v>1737.6666666666665</v>
      </c>
      <c r="AI69" s="2">
        <f t="shared" ref="AI69:AI82" si="78">AF69*2/3+AG69*1/3</f>
        <v>1741</v>
      </c>
      <c r="AJ69" s="2">
        <v>112</v>
      </c>
      <c r="AK69" s="2">
        <v>110</v>
      </c>
      <c r="AL69" s="2">
        <v>111</v>
      </c>
      <c r="AM69" s="2">
        <f t="shared" ref="AM69:AM82" si="79">AJ69*2/3+AK69*1/3</f>
        <v>111.33333333333334</v>
      </c>
      <c r="AN69" s="2">
        <f t="shared" ref="AN69:AN82" si="80">AK69*2/3+AL69*1/3</f>
        <v>110.33333333333333</v>
      </c>
      <c r="AO69" s="2">
        <v>162.29</v>
      </c>
      <c r="AP69" s="2">
        <v>165.91</v>
      </c>
      <c r="AQ69" s="2">
        <v>3957580.57</v>
      </c>
      <c r="AR69" s="2">
        <v>4129891.03</v>
      </c>
      <c r="AS69" s="2">
        <f t="shared" ref="AS69:AS83" si="81">AQ69/AO69/12</f>
        <v>2032.1546665434305</v>
      </c>
      <c r="AT69" s="2">
        <f t="shared" ref="AT69:AT83" si="82">AR69/AP69/12</f>
        <v>2074.3631235810581</v>
      </c>
      <c r="AU69" s="2">
        <f>Alusharidus!AH69*2/3+Alusharidus!AL69*1/3</f>
        <v>81.333333333333343</v>
      </c>
      <c r="AV69" s="2">
        <f>Alusharidus!AL69*2/3+Alusharidus!AP69*1/3</f>
        <v>134.66666666666669</v>
      </c>
      <c r="AW69" s="18">
        <f t="shared" si="56"/>
        <v>4.4713212387758855E-2</v>
      </c>
      <c r="AX69" s="18">
        <f t="shared" si="57"/>
        <v>7.1796694508619169E-2</v>
      </c>
      <c r="AY69" s="40"/>
      <c r="AZ69" s="40"/>
      <c r="BA69" s="25" t="s">
        <v>195</v>
      </c>
      <c r="BF69" s="2">
        <f t="shared" si="60"/>
        <v>465.23230337617497</v>
      </c>
      <c r="BG69" s="2">
        <f t="shared" si="61"/>
        <v>363.68173172837146</v>
      </c>
      <c r="BH69" s="2">
        <f t="shared" si="62"/>
        <v>31.795873297525421</v>
      </c>
      <c r="BI69" s="2">
        <f t="shared" ref="BI69:BI83" si="83">BF69-BG69-BH69</f>
        <v>69.75469835027809</v>
      </c>
      <c r="BJ69" s="2">
        <f t="shared" si="63"/>
        <v>499.09690264215971</v>
      </c>
      <c r="BK69" s="2">
        <f t="shared" si="64"/>
        <v>379.70330940072768</v>
      </c>
      <c r="BL69" s="2">
        <f t="shared" si="65"/>
        <v>35.844778862722571</v>
      </c>
      <c r="BM69" s="2">
        <f t="shared" ref="BM69:BM83" si="84">BJ69-BK69-BL69</f>
        <v>83.548814378709466</v>
      </c>
      <c r="BN69" s="2">
        <f t="shared" si="66"/>
        <v>148.36740024937657</v>
      </c>
      <c r="BO69" s="2">
        <f t="shared" si="67"/>
        <v>308.52958756953768</v>
      </c>
      <c r="BP69" s="2">
        <f t="shared" ref="BP69:BP83" si="85">BF69-BN69-BO69</f>
        <v>8.3353155572606852</v>
      </c>
      <c r="BQ69" s="2">
        <f t="shared" si="68"/>
        <v>156.77377800114877</v>
      </c>
      <c r="BR69" s="2">
        <f t="shared" si="69"/>
        <v>332.83284127895843</v>
      </c>
      <c r="BS69" s="2">
        <f t="shared" ref="BS69:BS83" si="86">BJ69-BQ69-BR69</f>
        <v>9.4902833620525371</v>
      </c>
      <c r="BT69" s="18">
        <f t="shared" ref="BT69:BT103" si="87">BG69/BF69</f>
        <v>0.78172072121635905</v>
      </c>
      <c r="BU69" s="18">
        <f t="shared" ref="BU69:BU103" si="88">BK69/BJ69</f>
        <v>0.76078073694832304</v>
      </c>
      <c r="BV69" s="18">
        <f t="shared" si="70"/>
        <v>0.6631731832259905</v>
      </c>
      <c r="BW69" s="18">
        <f t="shared" si="71"/>
        <v>0.66687017995299291</v>
      </c>
      <c r="BX69" s="34">
        <f t="shared" si="72"/>
        <v>15.607784431137722</v>
      </c>
      <c r="BY69" s="34">
        <f t="shared" si="73"/>
        <v>15.779456193353475</v>
      </c>
      <c r="BZ69" s="34">
        <f t="shared" ref="BZ69:BZ83" si="89">AH69/AO69</f>
        <v>10.707170291864358</v>
      </c>
      <c r="CA69" s="34">
        <f t="shared" ref="CA69:CA83" si="90">AI69/AP69</f>
        <v>10.493641130733531</v>
      </c>
      <c r="CB69" s="29">
        <v>1.56</v>
      </c>
      <c r="CC69" s="2">
        <v>2910.2</v>
      </c>
      <c r="CD69" s="2">
        <v>3422.4</v>
      </c>
      <c r="CE69">
        <v>14632</v>
      </c>
      <c r="CF69" t="s">
        <v>234</v>
      </c>
      <c r="CG69" t="str">
        <f t="shared" si="74"/>
        <v>Keskus-tagamaaline</v>
      </c>
    </row>
    <row r="70" spans="1:85" ht="14.25" customHeight="1" x14ac:dyDescent="0.35">
      <c r="A70" t="s">
        <v>149</v>
      </c>
      <c r="B70" s="10" t="s">
        <v>74</v>
      </c>
      <c r="C70" s="11">
        <v>106365.52</v>
      </c>
      <c r="D70" s="13"/>
      <c r="E70" s="13"/>
      <c r="F70" s="11">
        <v>927329.67000000016</v>
      </c>
      <c r="G70" s="11">
        <v>320741.88</v>
      </c>
      <c r="H70" s="11"/>
      <c r="I70" s="11">
        <v>3030998.67</v>
      </c>
      <c r="J70" s="11">
        <v>258533.85918</v>
      </c>
      <c r="K70" s="11">
        <v>357271.22</v>
      </c>
      <c r="L70" s="12">
        <f t="shared" si="58"/>
        <v>4101223.2</v>
      </c>
      <c r="M70" s="11">
        <v>116762.6</v>
      </c>
      <c r="N70" s="13"/>
      <c r="O70" s="13"/>
      <c r="P70" s="11">
        <v>1025251.91</v>
      </c>
      <c r="Q70" s="11">
        <v>332162.19</v>
      </c>
      <c r="R70" s="11"/>
      <c r="S70" s="11">
        <v>3362225.14</v>
      </c>
      <c r="T70" s="11">
        <v>288633.06564000004</v>
      </c>
      <c r="U70" s="11">
        <v>367439.33</v>
      </c>
      <c r="V70" s="12">
        <f t="shared" si="59"/>
        <v>4539516.79</v>
      </c>
      <c r="W70" s="11">
        <v>2398958</v>
      </c>
      <c r="X70" s="11">
        <v>50013</v>
      </c>
      <c r="Y70" s="11">
        <v>25460.37000000001</v>
      </c>
      <c r="Z70" s="51">
        <f t="shared" si="75"/>
        <v>2474431.37</v>
      </c>
      <c r="AA70" s="11">
        <v>2552742</v>
      </c>
      <c r="AB70" s="11">
        <v>52756</v>
      </c>
      <c r="AC70" s="11">
        <v>101505.13</v>
      </c>
      <c r="AD70" s="51">
        <f t="shared" si="76"/>
        <v>2707003.13</v>
      </c>
      <c r="AE70" s="2">
        <v>526</v>
      </c>
      <c r="AF70">
        <v>547</v>
      </c>
      <c r="AG70">
        <v>565</v>
      </c>
      <c r="AH70" s="2">
        <f t="shared" si="77"/>
        <v>533</v>
      </c>
      <c r="AI70" s="2">
        <f t="shared" si="78"/>
        <v>553</v>
      </c>
      <c r="AJ70" s="2">
        <v>35</v>
      </c>
      <c r="AK70" s="2">
        <v>34</v>
      </c>
      <c r="AL70" s="2">
        <v>35</v>
      </c>
      <c r="AM70" s="2">
        <f t="shared" si="79"/>
        <v>34.666666666666664</v>
      </c>
      <c r="AN70" s="2">
        <f t="shared" si="80"/>
        <v>34.333333333333336</v>
      </c>
      <c r="AO70" s="2">
        <v>61.09</v>
      </c>
      <c r="AP70" s="2">
        <v>61.57</v>
      </c>
      <c r="AQ70" s="2">
        <v>1527590.99</v>
      </c>
      <c r="AR70" s="2">
        <v>1672398.48</v>
      </c>
      <c r="AS70" s="2">
        <f t="shared" si="81"/>
        <v>2083.7984803841323</v>
      </c>
      <c r="AT70" s="2">
        <f t="shared" si="82"/>
        <v>2263.546207568621</v>
      </c>
      <c r="AU70" s="2">
        <f>Alusharidus!AH70*2/3+Alusharidus!AL70*1/3</f>
        <v>304.33333333333331</v>
      </c>
      <c r="AV70" s="2">
        <f>Alusharidus!AL70*2/3+Alusharidus!AP70*1/3</f>
        <v>168.66666666666666</v>
      </c>
      <c r="AW70" s="18">
        <f t="shared" si="56"/>
        <v>0.36345541401273884</v>
      </c>
      <c r="AX70" s="18">
        <f t="shared" si="57"/>
        <v>0.23371824480369516</v>
      </c>
      <c r="AY70" s="40"/>
      <c r="AZ70" s="40"/>
      <c r="BA70" s="25" t="s">
        <v>195</v>
      </c>
      <c r="BF70" s="2">
        <f t="shared" si="60"/>
        <v>641.21688555347089</v>
      </c>
      <c r="BG70" s="2">
        <f t="shared" si="61"/>
        <v>473.88972326454035</v>
      </c>
      <c r="BH70" s="2">
        <f t="shared" si="62"/>
        <v>55.858539712320201</v>
      </c>
      <c r="BI70" s="2">
        <f t="shared" si="83"/>
        <v>111.46862257661033</v>
      </c>
      <c r="BJ70" s="2">
        <f t="shared" si="63"/>
        <v>684.0742600964436</v>
      </c>
      <c r="BK70" s="2">
        <f t="shared" si="64"/>
        <v>506.66442736588306</v>
      </c>
      <c r="BL70" s="2">
        <f t="shared" si="65"/>
        <v>55.370604279686567</v>
      </c>
      <c r="BM70" s="2">
        <f t="shared" si="84"/>
        <v>122.03922845087396</v>
      </c>
      <c r="BN70" s="2">
        <f t="shared" si="66"/>
        <v>254.34518918073798</v>
      </c>
      <c r="BO70" s="2">
        <f t="shared" si="67"/>
        <v>379.05227798624145</v>
      </c>
      <c r="BP70" s="2">
        <f t="shared" si="85"/>
        <v>7.8194183864914635</v>
      </c>
      <c r="BQ70" s="2">
        <f t="shared" si="68"/>
        <v>276.14732670283303</v>
      </c>
      <c r="BR70" s="2">
        <f t="shared" si="69"/>
        <v>399.97696353224836</v>
      </c>
      <c r="BS70" s="2">
        <f t="shared" si="86"/>
        <v>7.9499698613622058</v>
      </c>
      <c r="BT70" s="18">
        <f t="shared" si="87"/>
        <v>0.73904747978603069</v>
      </c>
      <c r="BU70" s="18">
        <f t="shared" si="88"/>
        <v>0.7406570557039398</v>
      </c>
      <c r="BV70" s="18">
        <f t="shared" si="70"/>
        <v>0.59114519053730119</v>
      </c>
      <c r="BW70" s="18">
        <f t="shared" si="71"/>
        <v>0.5846981634360251</v>
      </c>
      <c r="BX70" s="34">
        <f t="shared" si="72"/>
        <v>15.375000000000002</v>
      </c>
      <c r="BY70" s="34">
        <f t="shared" si="73"/>
        <v>16.106796116504853</v>
      </c>
      <c r="BZ70" s="34">
        <f t="shared" si="89"/>
        <v>8.724832214765101</v>
      </c>
      <c r="CA70" s="34">
        <f t="shared" si="90"/>
        <v>8.9816469059606945</v>
      </c>
      <c r="CB70" s="29">
        <v>1.88</v>
      </c>
      <c r="CC70" s="2">
        <v>4458.3999999999996</v>
      </c>
      <c r="CD70" s="2">
        <v>4526.6000000000004</v>
      </c>
      <c r="CE70">
        <v>6459</v>
      </c>
      <c r="CF70" t="s">
        <v>234</v>
      </c>
      <c r="CG70" t="str">
        <f t="shared" si="74"/>
        <v>Tagamaaline</v>
      </c>
    </row>
    <row r="71" spans="1:85" ht="14.25" customHeight="1" x14ac:dyDescent="0.35">
      <c r="A71" t="s">
        <v>132</v>
      </c>
      <c r="B71" s="10" t="s">
        <v>75</v>
      </c>
      <c r="C71" s="11">
        <v>128379.54</v>
      </c>
      <c r="D71" s="11">
        <v>79.400000000000006</v>
      </c>
      <c r="E71" s="11">
        <v>306</v>
      </c>
      <c r="F71" s="11">
        <v>884257.62000000011</v>
      </c>
      <c r="G71" s="11">
        <v>182698.81</v>
      </c>
      <c r="H71" s="11"/>
      <c r="I71" s="11">
        <v>3498022.12</v>
      </c>
      <c r="J71" s="11">
        <v>186843.79242000001</v>
      </c>
      <c r="K71" s="11">
        <v>247855.44000000009</v>
      </c>
      <c r="L71" s="12">
        <f t="shared" si="58"/>
        <v>4575895.3100000005</v>
      </c>
      <c r="M71" s="11">
        <v>131551.60999999999</v>
      </c>
      <c r="N71" s="13"/>
      <c r="O71" s="11">
        <v>498.2</v>
      </c>
      <c r="P71" s="11">
        <v>902917.69000000053</v>
      </c>
      <c r="Q71" s="11">
        <v>185639.17</v>
      </c>
      <c r="R71" s="11"/>
      <c r="S71" s="11">
        <v>3566444.129999999</v>
      </c>
      <c r="T71" s="11">
        <v>196545.16211999999</v>
      </c>
      <c r="U71" s="11">
        <v>249052.77</v>
      </c>
      <c r="V71" s="12">
        <f t="shared" si="59"/>
        <v>4664327.0299999993</v>
      </c>
      <c r="W71" s="11">
        <v>2720325</v>
      </c>
      <c r="X71" s="11">
        <v>105609</v>
      </c>
      <c r="Y71" s="11">
        <v>129307.54999999999</v>
      </c>
      <c r="Z71" s="51">
        <f t="shared" si="75"/>
        <v>2955241.55</v>
      </c>
      <c r="AA71" s="11">
        <v>2613753</v>
      </c>
      <c r="AB71" s="11">
        <v>112237</v>
      </c>
      <c r="AC71" s="11">
        <v>219123.99</v>
      </c>
      <c r="AD71" s="51">
        <f t="shared" si="76"/>
        <v>2945113.99</v>
      </c>
      <c r="AE71" s="2">
        <v>673</v>
      </c>
      <c r="AF71">
        <v>654</v>
      </c>
      <c r="AG71">
        <v>663</v>
      </c>
      <c r="AH71" s="2">
        <f t="shared" si="77"/>
        <v>666.66666666666674</v>
      </c>
      <c r="AI71" s="2">
        <f t="shared" si="78"/>
        <v>657</v>
      </c>
      <c r="AJ71" s="2">
        <v>50</v>
      </c>
      <c r="AK71" s="2">
        <v>50</v>
      </c>
      <c r="AL71" s="2">
        <v>52</v>
      </c>
      <c r="AM71" s="2">
        <f t="shared" si="79"/>
        <v>50</v>
      </c>
      <c r="AN71" s="2">
        <f t="shared" si="80"/>
        <v>50.666666666666671</v>
      </c>
      <c r="AO71" s="2">
        <v>71.150000000000006</v>
      </c>
      <c r="AP71" s="2">
        <v>71.14</v>
      </c>
      <c r="AQ71" s="2">
        <v>1734119.79</v>
      </c>
      <c r="AR71" s="2">
        <v>1716563.46</v>
      </c>
      <c r="AS71" s="2">
        <f t="shared" si="81"/>
        <v>2031.0608924806745</v>
      </c>
      <c r="AT71" s="2">
        <f t="shared" si="82"/>
        <v>2010.7809249367444</v>
      </c>
      <c r="AU71" s="2">
        <f>Alusharidus!AH71*2/3+Alusharidus!AL71*1/3</f>
        <v>26.666666666666668</v>
      </c>
      <c r="AV71" s="2">
        <f>Alusharidus!AL71*2/3+Alusharidus!AP71*1/3</f>
        <v>0</v>
      </c>
      <c r="AW71" s="18">
        <f t="shared" si="56"/>
        <v>3.8461538461538464E-2</v>
      </c>
      <c r="AX71" s="18">
        <f t="shared" si="57"/>
        <v>0</v>
      </c>
      <c r="AY71" s="2">
        <f>L71*AW71</f>
        <v>175995.9734615385</v>
      </c>
      <c r="AZ71" s="2"/>
      <c r="BF71" s="2">
        <f t="shared" si="60"/>
        <v>549.98741706730766</v>
      </c>
      <c r="BG71" s="2">
        <f t="shared" si="61"/>
        <v>437.25276499999995</v>
      </c>
      <c r="BH71" s="2">
        <f t="shared" si="62"/>
        <v>30.981930000000006</v>
      </c>
      <c r="BI71" s="2">
        <f t="shared" si="83"/>
        <v>81.752722067307701</v>
      </c>
      <c r="BJ71" s="2">
        <f t="shared" si="63"/>
        <v>591.61935946220183</v>
      </c>
      <c r="BK71" s="2">
        <f t="shared" si="64"/>
        <v>452.36480593607297</v>
      </c>
      <c r="BL71" s="2">
        <f t="shared" si="65"/>
        <v>31.589646118721461</v>
      </c>
      <c r="BM71" s="2">
        <f t="shared" si="84"/>
        <v>107.6649074074074</v>
      </c>
      <c r="BN71" s="2">
        <f t="shared" si="66"/>
        <v>180.58222331730772</v>
      </c>
      <c r="BO71" s="2">
        <f t="shared" si="67"/>
        <v>356.20406874999998</v>
      </c>
      <c r="BP71" s="2">
        <f t="shared" si="85"/>
        <v>13.20112499999999</v>
      </c>
      <c r="BQ71" s="2">
        <f t="shared" si="68"/>
        <v>218.06355149670208</v>
      </c>
      <c r="BR71" s="2">
        <f t="shared" si="69"/>
        <v>359.31976027397263</v>
      </c>
      <c r="BS71" s="2">
        <f t="shared" si="86"/>
        <v>14.236047691527119</v>
      </c>
      <c r="BT71" s="18">
        <f t="shared" si="87"/>
        <v>0.79502321586111635</v>
      </c>
      <c r="BU71" s="18">
        <f t="shared" si="88"/>
        <v>0.76462137132781616</v>
      </c>
      <c r="BV71" s="18">
        <f t="shared" si="70"/>
        <v>0.64765857853509312</v>
      </c>
      <c r="BW71" s="18">
        <f t="shared" si="71"/>
        <v>0.60734956442365939</v>
      </c>
      <c r="BX71" s="34">
        <f t="shared" si="72"/>
        <v>13.333333333333336</v>
      </c>
      <c r="BY71" s="34">
        <f t="shared" si="73"/>
        <v>12.967105263157894</v>
      </c>
      <c r="BZ71" s="34">
        <f t="shared" si="89"/>
        <v>9.3698758491449983</v>
      </c>
      <c r="CA71" s="34">
        <f t="shared" si="90"/>
        <v>9.235310655046387</v>
      </c>
      <c r="CB71" s="29">
        <v>2.0299999999999998</v>
      </c>
      <c r="CC71" s="2">
        <v>5313</v>
      </c>
      <c r="CD71" s="2">
        <v>5132</v>
      </c>
      <c r="CE71">
        <v>7097</v>
      </c>
      <c r="CF71" t="s">
        <v>234</v>
      </c>
      <c r="CG71" t="str">
        <f t="shared" si="74"/>
        <v>Tagamaaline</v>
      </c>
    </row>
    <row r="72" spans="1:85" ht="14.25" customHeight="1" x14ac:dyDescent="0.35">
      <c r="A72" t="s">
        <v>96</v>
      </c>
      <c r="B72" s="10" t="s">
        <v>76</v>
      </c>
      <c r="C72" s="11">
        <v>314530.71000000002</v>
      </c>
      <c r="D72" s="11">
        <v>2.4700000000000002</v>
      </c>
      <c r="E72" s="11">
        <v>60540</v>
      </c>
      <c r="F72" s="11">
        <v>1891634.97</v>
      </c>
      <c r="G72" s="11">
        <v>250613.59</v>
      </c>
      <c r="H72" s="11"/>
      <c r="I72" s="11">
        <v>7721261.4900000002</v>
      </c>
      <c r="J72" s="11">
        <v>443400.62280000001</v>
      </c>
      <c r="K72" s="11">
        <v>448578.4</v>
      </c>
      <c r="L72" s="12">
        <f t="shared" si="58"/>
        <v>10125394.450000001</v>
      </c>
      <c r="M72" s="11">
        <v>383456.65</v>
      </c>
      <c r="N72" s="11">
        <v>2.35</v>
      </c>
      <c r="O72" s="11">
        <v>26160</v>
      </c>
      <c r="P72" s="11">
        <v>2136624.14</v>
      </c>
      <c r="Q72" s="11">
        <v>255731.17</v>
      </c>
      <c r="R72" s="11"/>
      <c r="S72" s="11">
        <v>7504449.7800000003</v>
      </c>
      <c r="T72" s="11">
        <v>435297.80184000003</v>
      </c>
      <c r="U72" s="11">
        <v>445976.77000000008</v>
      </c>
      <c r="V72" s="12">
        <f t="shared" si="59"/>
        <v>10214778.52</v>
      </c>
      <c r="W72" s="11">
        <v>7001973</v>
      </c>
      <c r="X72" s="11">
        <v>645384</v>
      </c>
      <c r="Y72" s="11">
        <v>199686.67000000004</v>
      </c>
      <c r="Z72" s="51">
        <f t="shared" si="75"/>
        <v>7847043.6699999999</v>
      </c>
      <c r="AA72" s="11">
        <v>7067880</v>
      </c>
      <c r="AB72" s="11">
        <v>590038.65000000026</v>
      </c>
      <c r="AC72" s="11">
        <v>405571.92000000004</v>
      </c>
      <c r="AD72" s="51">
        <f t="shared" si="76"/>
        <v>8063490.5700000003</v>
      </c>
      <c r="AE72" s="2">
        <v>2396</v>
      </c>
      <c r="AF72">
        <v>2398</v>
      </c>
      <c r="AG72">
        <v>1948</v>
      </c>
      <c r="AH72" s="2">
        <f t="shared" si="77"/>
        <v>2396.6666666666665</v>
      </c>
      <c r="AI72" s="2">
        <f t="shared" si="78"/>
        <v>2248</v>
      </c>
      <c r="AJ72" s="2">
        <v>113</v>
      </c>
      <c r="AK72" s="2">
        <v>114</v>
      </c>
      <c r="AL72" s="2">
        <v>99</v>
      </c>
      <c r="AM72" s="2">
        <f t="shared" si="79"/>
        <v>113.33333333333333</v>
      </c>
      <c r="AN72" s="2">
        <f t="shared" si="80"/>
        <v>109</v>
      </c>
      <c r="AO72" s="2">
        <v>169.52</v>
      </c>
      <c r="AP72" s="2">
        <v>159.56</v>
      </c>
      <c r="AQ72" s="2">
        <v>4469762.2</v>
      </c>
      <c r="AR72" s="2">
        <v>4283720.83</v>
      </c>
      <c r="AS72" s="2">
        <f t="shared" si="81"/>
        <v>2197.2639413245242</v>
      </c>
      <c r="AT72" s="2">
        <f t="shared" si="82"/>
        <v>2237.2570558619536</v>
      </c>
      <c r="AU72" s="2">
        <f>Alusharidus!AH72*2/3+Alusharidus!AL72*1/3</f>
        <v>0</v>
      </c>
      <c r="AV72" s="2">
        <f>Alusharidus!AL72*2/3+Alusharidus!AP72*1/3</f>
        <v>0</v>
      </c>
      <c r="AW72" s="18">
        <f t="shared" si="56"/>
        <v>0</v>
      </c>
      <c r="AX72" s="18">
        <f t="shared" si="57"/>
        <v>0</v>
      </c>
      <c r="AY72" s="40"/>
      <c r="AZ72" s="40"/>
      <c r="BF72" s="2">
        <f t="shared" si="60"/>
        <v>352.06517559109881</v>
      </c>
      <c r="BG72" s="2">
        <f t="shared" si="61"/>
        <v>268.47223539638389</v>
      </c>
      <c r="BH72" s="2">
        <f t="shared" si="62"/>
        <v>15.59730180806676</v>
      </c>
      <c r="BI72" s="2">
        <f t="shared" si="83"/>
        <v>67.995638386648153</v>
      </c>
      <c r="BJ72" s="2">
        <f t="shared" si="63"/>
        <v>378.66171856465007</v>
      </c>
      <c r="BK72" s="2">
        <f t="shared" si="64"/>
        <v>278.18986432384344</v>
      </c>
      <c r="BL72" s="2">
        <f t="shared" si="65"/>
        <v>16.53235357354686</v>
      </c>
      <c r="BM72" s="2">
        <f t="shared" si="84"/>
        <v>83.939500667259779</v>
      </c>
      <c r="BN72" s="2">
        <f t="shared" si="66"/>
        <v>79.219429068150262</v>
      </c>
      <c r="BO72" s="2">
        <f t="shared" si="67"/>
        <v>250.40541272600834</v>
      </c>
      <c r="BP72" s="2">
        <f t="shared" si="85"/>
        <v>22.440333796940223</v>
      </c>
      <c r="BQ72" s="2">
        <f t="shared" si="68"/>
        <v>79.748218787069959</v>
      </c>
      <c r="BR72" s="2">
        <f t="shared" si="69"/>
        <v>277.04077402135232</v>
      </c>
      <c r="BS72" s="2">
        <f t="shared" si="86"/>
        <v>21.872725756227794</v>
      </c>
      <c r="BT72" s="18">
        <f t="shared" si="87"/>
        <v>0.76256401941951002</v>
      </c>
      <c r="BU72" s="18">
        <f t="shared" si="88"/>
        <v>0.73466593184636175</v>
      </c>
      <c r="BV72" s="18">
        <f t="shared" si="70"/>
        <v>0.71124732034513471</v>
      </c>
      <c r="BW72" s="18">
        <f t="shared" si="71"/>
        <v>0.73163132273180209</v>
      </c>
      <c r="BX72" s="34">
        <f t="shared" si="72"/>
        <v>21.147058823529413</v>
      </c>
      <c r="BY72" s="34">
        <f t="shared" si="73"/>
        <v>20.623853211009173</v>
      </c>
      <c r="BZ72" s="34">
        <f t="shared" si="89"/>
        <v>14.137958156363062</v>
      </c>
      <c r="CA72" s="34">
        <f t="shared" si="90"/>
        <v>14.088744046126848</v>
      </c>
      <c r="CB72" s="29">
        <v>1</v>
      </c>
      <c r="CC72" s="2">
        <v>1136.7</v>
      </c>
      <c r="CD72" s="2">
        <v>1130.5</v>
      </c>
      <c r="CE72">
        <v>16800</v>
      </c>
      <c r="CF72" t="s">
        <v>234</v>
      </c>
      <c r="CG72" t="str">
        <f t="shared" si="74"/>
        <v>Keskuslik</v>
      </c>
    </row>
    <row r="73" spans="1:85" ht="14.25" customHeight="1" x14ac:dyDescent="0.35">
      <c r="A73" t="s">
        <v>95</v>
      </c>
      <c r="B73" s="10" t="s">
        <v>77</v>
      </c>
      <c r="C73" s="11">
        <v>192400.08</v>
      </c>
      <c r="D73" s="13"/>
      <c r="E73" s="11">
        <v>420</v>
      </c>
      <c r="F73" s="11">
        <v>1774077.1300000011</v>
      </c>
      <c r="G73" s="11">
        <v>706291.76</v>
      </c>
      <c r="H73" s="11"/>
      <c r="I73" s="11">
        <v>5812091.2199999988</v>
      </c>
      <c r="J73" s="11">
        <v>544254.09882000007</v>
      </c>
      <c r="K73" s="11">
        <v>360536.91</v>
      </c>
      <c r="L73" s="12">
        <f t="shared" si="58"/>
        <v>7432813.5800000001</v>
      </c>
      <c r="M73" s="11">
        <v>264748.27</v>
      </c>
      <c r="N73" s="13"/>
      <c r="O73" s="11">
        <v>450</v>
      </c>
      <c r="P73" s="11">
        <v>2085529.33</v>
      </c>
      <c r="Q73" s="11">
        <v>662017.16</v>
      </c>
      <c r="R73" s="11">
        <v>48</v>
      </c>
      <c r="S73" s="11">
        <v>5964672.71</v>
      </c>
      <c r="T73" s="11">
        <v>499482.62520000007</v>
      </c>
      <c r="U73" s="11">
        <v>361733.01000000013</v>
      </c>
      <c r="V73" s="12">
        <f t="shared" si="59"/>
        <v>8014666.1600000001</v>
      </c>
      <c r="W73" s="11">
        <v>4194274</v>
      </c>
      <c r="X73" s="11">
        <v>160722.4</v>
      </c>
      <c r="Y73" s="11">
        <v>78747.790000000008</v>
      </c>
      <c r="Z73" s="51">
        <f t="shared" si="75"/>
        <v>4433744.1900000004</v>
      </c>
      <c r="AA73" s="11">
        <v>4319471</v>
      </c>
      <c r="AB73" s="11">
        <v>160042.20000000001</v>
      </c>
      <c r="AC73" s="11">
        <v>348715</v>
      </c>
      <c r="AD73" s="51">
        <f t="shared" si="76"/>
        <v>4828228.2</v>
      </c>
      <c r="AE73" s="2">
        <v>958</v>
      </c>
      <c r="AF73">
        <v>970</v>
      </c>
      <c r="AG73">
        <v>979</v>
      </c>
      <c r="AH73" s="2">
        <f t="shared" si="77"/>
        <v>962</v>
      </c>
      <c r="AI73" s="2">
        <f t="shared" si="78"/>
        <v>973</v>
      </c>
      <c r="AJ73" s="2">
        <v>90</v>
      </c>
      <c r="AK73" s="2">
        <v>89</v>
      </c>
      <c r="AL73" s="2">
        <v>87</v>
      </c>
      <c r="AM73" s="2">
        <f t="shared" si="79"/>
        <v>89.666666666666671</v>
      </c>
      <c r="AN73" s="2">
        <f t="shared" si="80"/>
        <v>88.333333333333343</v>
      </c>
      <c r="AO73" s="2">
        <v>107.36</v>
      </c>
      <c r="AP73" s="2">
        <v>112.14</v>
      </c>
      <c r="AQ73" s="2">
        <v>2672163.38</v>
      </c>
      <c r="AR73" s="2">
        <v>2822036.99</v>
      </c>
      <c r="AS73" s="2">
        <f t="shared" si="81"/>
        <v>2074.1456936164927</v>
      </c>
      <c r="AT73" s="2">
        <f t="shared" si="82"/>
        <v>2097.1085176267761</v>
      </c>
      <c r="AU73" s="2">
        <f>Alusharidus!AH73*2/3+Alusharidus!AL73*1/3</f>
        <v>202.66666666666666</v>
      </c>
      <c r="AV73" s="2">
        <f>Alusharidus!AL73*2/3+Alusharidus!AP73*1/3</f>
        <v>196.66666666666669</v>
      </c>
      <c r="AW73" s="18">
        <f t="shared" si="56"/>
        <v>0.17401259301659985</v>
      </c>
      <c r="AX73" s="18">
        <f t="shared" si="57"/>
        <v>0.16813907096038758</v>
      </c>
      <c r="AY73" s="40"/>
      <c r="AZ73" s="40"/>
      <c r="BA73" s="25" t="s">
        <v>195</v>
      </c>
      <c r="BF73" s="2">
        <f t="shared" si="60"/>
        <v>643.86812023562027</v>
      </c>
      <c r="BG73" s="2">
        <f t="shared" si="61"/>
        <v>503.4729054054053</v>
      </c>
      <c r="BH73" s="2">
        <f t="shared" si="62"/>
        <v>31.231541060291061</v>
      </c>
      <c r="BI73" s="2">
        <f t="shared" si="83"/>
        <v>109.1636737699239</v>
      </c>
      <c r="BJ73" s="2">
        <f t="shared" si="63"/>
        <v>686.4222473449812</v>
      </c>
      <c r="BK73" s="2">
        <f t="shared" si="64"/>
        <v>510.8489816718054</v>
      </c>
      <c r="BL73" s="2">
        <f t="shared" si="65"/>
        <v>30.985012846865374</v>
      </c>
      <c r="BM73" s="2">
        <f t="shared" si="84"/>
        <v>144.58825282631042</v>
      </c>
      <c r="BN73" s="2">
        <f t="shared" si="66"/>
        <v>259.7946457033957</v>
      </c>
      <c r="BO73" s="2">
        <f t="shared" si="67"/>
        <v>370.1508827096327</v>
      </c>
      <c r="BP73" s="2">
        <f t="shared" si="85"/>
        <v>13.922591822591869</v>
      </c>
      <c r="BQ73" s="2">
        <f t="shared" si="68"/>
        <v>272.90492977046932</v>
      </c>
      <c r="BR73" s="2">
        <f t="shared" si="69"/>
        <v>399.81038026721484</v>
      </c>
      <c r="BS73" s="2">
        <f t="shared" si="86"/>
        <v>13.706937307297039</v>
      </c>
      <c r="BT73" s="18">
        <f t="shared" si="87"/>
        <v>0.78195035533233415</v>
      </c>
      <c r="BU73" s="18">
        <f t="shared" si="88"/>
        <v>0.74421973304000966</v>
      </c>
      <c r="BV73" s="18">
        <f t="shared" si="70"/>
        <v>0.57488617789335161</v>
      </c>
      <c r="BW73" s="18">
        <f t="shared" si="71"/>
        <v>0.58245545189370684</v>
      </c>
      <c r="BX73" s="34">
        <f t="shared" si="72"/>
        <v>10.728624535315985</v>
      </c>
      <c r="BY73" s="34">
        <f t="shared" si="73"/>
        <v>11.015094339622641</v>
      </c>
      <c r="BZ73" s="34">
        <f t="shared" si="89"/>
        <v>8.9605067064083457</v>
      </c>
      <c r="CA73" s="34">
        <f t="shared" si="90"/>
        <v>8.6766541822721592</v>
      </c>
      <c r="CB73" s="29">
        <v>1.96</v>
      </c>
      <c r="CC73" s="2">
        <v>4515.7</v>
      </c>
      <c r="CD73" s="2">
        <v>4926.7</v>
      </c>
      <c r="CE73">
        <v>13375</v>
      </c>
      <c r="CF73" t="s">
        <v>234</v>
      </c>
      <c r="CG73" t="str">
        <f t="shared" si="74"/>
        <v>Tagamaaline</v>
      </c>
    </row>
    <row r="74" spans="1:85" ht="14.25" customHeight="1" x14ac:dyDescent="0.35">
      <c r="A74" t="s">
        <v>121</v>
      </c>
      <c r="B74" s="10" t="s">
        <v>78</v>
      </c>
      <c r="C74" s="11">
        <v>180462.32</v>
      </c>
      <c r="D74" s="13"/>
      <c r="E74" s="11">
        <v>3720</v>
      </c>
      <c r="F74" s="11">
        <v>1142937.1200000001</v>
      </c>
      <c r="G74" s="11">
        <v>172332.17</v>
      </c>
      <c r="H74" s="11">
        <v>23492.080000000002</v>
      </c>
      <c r="I74" s="11">
        <v>4930043.1599999992</v>
      </c>
      <c r="J74" s="11">
        <v>324520.64741999999</v>
      </c>
      <c r="K74" s="11">
        <v>343916.95</v>
      </c>
      <c r="L74" s="12">
        <f t="shared" si="58"/>
        <v>6425027.3799999999</v>
      </c>
      <c r="M74" s="11">
        <v>187157.08</v>
      </c>
      <c r="N74" s="11">
        <v>4500</v>
      </c>
      <c r="O74" s="11">
        <v>3636</v>
      </c>
      <c r="P74" s="11">
        <v>1174234.95</v>
      </c>
      <c r="Q74" s="11">
        <v>201404.95</v>
      </c>
      <c r="R74" s="11">
        <v>23460.09</v>
      </c>
      <c r="S74" s="11">
        <v>5112762.28</v>
      </c>
      <c r="T74" s="11">
        <v>340924.83516000002</v>
      </c>
      <c r="U74" s="11">
        <v>336052.88</v>
      </c>
      <c r="V74" s="12">
        <f t="shared" si="59"/>
        <v>6613302.2400000002</v>
      </c>
      <c r="W74" s="11">
        <v>3864641</v>
      </c>
      <c r="X74" s="11">
        <v>389097</v>
      </c>
      <c r="Y74" s="11">
        <v>433586.05999999982</v>
      </c>
      <c r="Z74" s="51">
        <f t="shared" si="75"/>
        <v>4687324.0599999996</v>
      </c>
      <c r="AA74" s="11">
        <v>3955779</v>
      </c>
      <c r="AB74" s="11">
        <v>447515</v>
      </c>
      <c r="AC74" s="11">
        <v>463994.36000000022</v>
      </c>
      <c r="AD74" s="51">
        <f t="shared" si="76"/>
        <v>4867288.3600000003</v>
      </c>
      <c r="AE74" s="2">
        <v>850</v>
      </c>
      <c r="AF74">
        <v>860</v>
      </c>
      <c r="AG74">
        <v>844</v>
      </c>
      <c r="AH74" s="2">
        <f t="shared" si="77"/>
        <v>853.33333333333326</v>
      </c>
      <c r="AI74" s="2">
        <f t="shared" si="78"/>
        <v>854.66666666666674</v>
      </c>
      <c r="AJ74" s="2">
        <v>76</v>
      </c>
      <c r="AK74" s="2">
        <v>79</v>
      </c>
      <c r="AL74" s="2">
        <v>82</v>
      </c>
      <c r="AM74" s="2">
        <f t="shared" si="79"/>
        <v>77</v>
      </c>
      <c r="AN74" s="2">
        <f t="shared" si="80"/>
        <v>80</v>
      </c>
      <c r="AO74" s="2">
        <v>97.460000000000008</v>
      </c>
      <c r="AP74" s="2">
        <v>98.72</v>
      </c>
      <c r="AQ74" s="2">
        <v>2318065.459999999</v>
      </c>
      <c r="AR74" s="2">
        <v>2358045.4900000002</v>
      </c>
      <c r="AS74" s="2">
        <f t="shared" si="81"/>
        <v>1982.065685067377</v>
      </c>
      <c r="AT74" s="2">
        <f t="shared" si="82"/>
        <v>1990.516519786602</v>
      </c>
      <c r="AU74" s="2">
        <f>Alusharidus!AH74*2/3+Alusharidus!AL74*1/3</f>
        <v>103.66666666666667</v>
      </c>
      <c r="AV74" s="2">
        <f>Alusharidus!AL74*2/3+Alusharidus!AP74*1/3</f>
        <v>91.333333333333343</v>
      </c>
      <c r="AW74" s="18">
        <f t="shared" si="56"/>
        <v>0.10832462556600489</v>
      </c>
      <c r="AX74" s="18">
        <f t="shared" si="57"/>
        <v>9.6546863988724446E-2</v>
      </c>
      <c r="AY74" s="40"/>
      <c r="AZ74" s="40"/>
      <c r="BA74" s="25" t="s">
        <v>195</v>
      </c>
      <c r="BF74" s="2">
        <f t="shared" si="60"/>
        <v>627.44408007812501</v>
      </c>
      <c r="BG74" s="2">
        <f t="shared" si="61"/>
        <v>481.44952734374993</v>
      </c>
      <c r="BH74" s="2">
        <f t="shared" si="62"/>
        <v>35.879788085937506</v>
      </c>
      <c r="BI74" s="2">
        <f t="shared" si="83"/>
        <v>110.11476464843757</v>
      </c>
      <c r="BJ74" s="2">
        <f t="shared" si="63"/>
        <v>644.82276131045239</v>
      </c>
      <c r="BK74" s="2">
        <f t="shared" si="64"/>
        <v>498.51426287051481</v>
      </c>
      <c r="BL74" s="2">
        <f t="shared" si="65"/>
        <v>35.053916731669268</v>
      </c>
      <c r="BM74" s="2">
        <f t="shared" si="84"/>
        <v>111.25458170826832</v>
      </c>
      <c r="BN74" s="2">
        <f t="shared" si="66"/>
        <v>169.69758984375005</v>
      </c>
      <c r="BO74" s="2">
        <f t="shared" si="67"/>
        <v>419.74873632812501</v>
      </c>
      <c r="BP74" s="2">
        <f t="shared" si="85"/>
        <v>37.997753906249955</v>
      </c>
      <c r="BQ74" s="2">
        <f t="shared" si="68"/>
        <v>170.24316302652105</v>
      </c>
      <c r="BR74" s="2">
        <f t="shared" si="69"/>
        <v>430.9451404056162</v>
      </c>
      <c r="BS74" s="2">
        <f t="shared" si="86"/>
        <v>43.634457878315118</v>
      </c>
      <c r="BT74" s="18">
        <f t="shared" si="87"/>
        <v>0.76731862269511442</v>
      </c>
      <c r="BU74" s="18">
        <f t="shared" si="88"/>
        <v>0.77310276991060367</v>
      </c>
      <c r="BV74" s="18">
        <f t="shared" si="70"/>
        <v>0.66898190556815962</v>
      </c>
      <c r="BW74" s="18">
        <f t="shared" si="71"/>
        <v>0.66831564619372363</v>
      </c>
      <c r="BX74" s="34">
        <f t="shared" si="72"/>
        <v>11.082251082251082</v>
      </c>
      <c r="BY74" s="34">
        <f t="shared" si="73"/>
        <v>10.683333333333334</v>
      </c>
      <c r="BZ74" s="34">
        <f t="shared" si="89"/>
        <v>8.7557288460222988</v>
      </c>
      <c r="CA74" s="34">
        <f t="shared" si="90"/>
        <v>8.6574824419232854</v>
      </c>
      <c r="CB74" s="29">
        <v>2</v>
      </c>
      <c r="CC74" s="2">
        <v>3128.8</v>
      </c>
      <c r="CD74" s="2">
        <v>4516.6000000000004</v>
      </c>
      <c r="CE74">
        <v>7621</v>
      </c>
      <c r="CF74" t="s">
        <v>234</v>
      </c>
      <c r="CG74" t="str">
        <f t="shared" si="74"/>
        <v>Tagamaaline</v>
      </c>
    </row>
    <row r="75" spans="1:85" ht="14.25" customHeight="1" x14ac:dyDescent="0.35">
      <c r="A75" t="s">
        <v>126</v>
      </c>
      <c r="B75" s="10" t="s">
        <v>79</v>
      </c>
      <c r="C75" s="11">
        <v>116217.27</v>
      </c>
      <c r="D75" s="11">
        <v>72</v>
      </c>
      <c r="E75" s="11">
        <v>6720</v>
      </c>
      <c r="F75" s="11">
        <v>722367.37999999977</v>
      </c>
      <c r="G75" s="11">
        <v>112607.45</v>
      </c>
      <c r="H75" s="11">
        <v>673.6</v>
      </c>
      <c r="I75" s="11">
        <v>3469115.24</v>
      </c>
      <c r="J75" s="11">
        <v>194064.51011999999</v>
      </c>
      <c r="K75" s="11">
        <v>240249</v>
      </c>
      <c r="L75" s="12">
        <f t="shared" si="58"/>
        <v>4435413.4399999995</v>
      </c>
      <c r="M75" s="11">
        <v>125160.28</v>
      </c>
      <c r="N75" s="11">
        <v>-90</v>
      </c>
      <c r="O75" s="11">
        <v>8250</v>
      </c>
      <c r="P75" s="11">
        <v>791173.74</v>
      </c>
      <c r="Q75" s="11">
        <v>124537.49</v>
      </c>
      <c r="R75" s="11">
        <v>663.1</v>
      </c>
      <c r="S75" s="11">
        <v>3715231.080000001</v>
      </c>
      <c r="T75" s="11">
        <v>214527.74832000004</v>
      </c>
      <c r="U75" s="11">
        <v>244076.59</v>
      </c>
      <c r="V75" s="12">
        <f t="shared" si="59"/>
        <v>4751014.2000000011</v>
      </c>
      <c r="W75" s="11">
        <v>2921096</v>
      </c>
      <c r="X75" s="11">
        <v>125256</v>
      </c>
      <c r="Y75" s="11">
        <v>20708.420000000013</v>
      </c>
      <c r="Z75" s="51">
        <f t="shared" si="75"/>
        <v>3067060.42</v>
      </c>
      <c r="AA75" s="11">
        <v>2943536</v>
      </c>
      <c r="AB75" s="11">
        <v>119790</v>
      </c>
      <c r="AC75" s="11">
        <v>30351.420000000013</v>
      </c>
      <c r="AD75" s="51">
        <f t="shared" si="76"/>
        <v>3093677.42</v>
      </c>
      <c r="AE75" s="2">
        <v>709</v>
      </c>
      <c r="AF75">
        <v>694</v>
      </c>
      <c r="AG75">
        <v>673</v>
      </c>
      <c r="AH75" s="2">
        <f t="shared" si="77"/>
        <v>704</v>
      </c>
      <c r="AI75" s="2">
        <f t="shared" si="78"/>
        <v>687</v>
      </c>
      <c r="AJ75" s="2">
        <v>53</v>
      </c>
      <c r="AK75" s="2">
        <v>51</v>
      </c>
      <c r="AL75" s="2">
        <v>49</v>
      </c>
      <c r="AM75" s="2">
        <f t="shared" si="79"/>
        <v>52.333333333333336</v>
      </c>
      <c r="AN75" s="2">
        <f t="shared" si="80"/>
        <v>50.333333333333329</v>
      </c>
      <c r="AO75" s="2">
        <v>80.33</v>
      </c>
      <c r="AP75" s="2">
        <v>77.600000000000009</v>
      </c>
      <c r="AQ75" s="2">
        <v>1877097.67</v>
      </c>
      <c r="AR75" s="2">
        <v>1928242.99</v>
      </c>
      <c r="AS75" s="2">
        <f t="shared" si="81"/>
        <v>1947.2775530104982</v>
      </c>
      <c r="AT75" s="2">
        <f t="shared" si="82"/>
        <v>2070.7076782646045</v>
      </c>
      <c r="AU75" s="2">
        <f>Alusharidus!AH75*2/3+Alusharidus!AL75*1/3</f>
        <v>118.33333333333334</v>
      </c>
      <c r="AV75" s="2">
        <f>Alusharidus!AL75*2/3+Alusharidus!AP75*1/3</f>
        <v>120</v>
      </c>
      <c r="AW75" s="18">
        <f t="shared" si="56"/>
        <v>0.14389947304418321</v>
      </c>
      <c r="AX75" s="18">
        <f t="shared" si="57"/>
        <v>0.14869888475836432</v>
      </c>
      <c r="AY75" s="40"/>
      <c r="AZ75" s="40"/>
      <c r="BA75" s="25" t="s">
        <v>195</v>
      </c>
      <c r="BF75" s="2">
        <f t="shared" si="60"/>
        <v>525.0252651515151</v>
      </c>
      <c r="BG75" s="2">
        <f t="shared" si="61"/>
        <v>410.64337594696968</v>
      </c>
      <c r="BH75" s="2">
        <f t="shared" si="62"/>
        <v>28.518300189393941</v>
      </c>
      <c r="BI75" s="2">
        <f t="shared" si="83"/>
        <v>85.863589015151476</v>
      </c>
      <c r="BJ75" s="2">
        <f t="shared" si="63"/>
        <v>576.29963609898118</v>
      </c>
      <c r="BK75" s="2">
        <f t="shared" si="64"/>
        <v>450.65879184861728</v>
      </c>
      <c r="BL75" s="2">
        <f t="shared" si="65"/>
        <v>29.687007520621055</v>
      </c>
      <c r="BM75" s="2">
        <f t="shared" si="84"/>
        <v>95.953836729742847</v>
      </c>
      <c r="BN75" s="2">
        <f t="shared" si="66"/>
        <v>161.97360558712117</v>
      </c>
      <c r="BO75" s="2">
        <f t="shared" si="67"/>
        <v>348.2249550189394</v>
      </c>
      <c r="BP75" s="2">
        <f t="shared" si="85"/>
        <v>14.826704545454561</v>
      </c>
      <c r="BQ75" s="2">
        <f t="shared" si="68"/>
        <v>201.03551431344022</v>
      </c>
      <c r="BR75" s="2">
        <f t="shared" si="69"/>
        <v>360.7335540999515</v>
      </c>
      <c r="BS75" s="2">
        <f t="shared" si="86"/>
        <v>14.53056768558946</v>
      </c>
      <c r="BT75" s="18">
        <f t="shared" si="87"/>
        <v>0.7821402191539556</v>
      </c>
      <c r="BU75" s="18">
        <f t="shared" si="88"/>
        <v>0.78198694501902355</v>
      </c>
      <c r="BV75" s="18">
        <f t="shared" si="70"/>
        <v>0.66325371012087664</v>
      </c>
      <c r="BW75" s="18">
        <f t="shared" si="71"/>
        <v>0.62594791234258973</v>
      </c>
      <c r="BX75" s="34">
        <f t="shared" si="72"/>
        <v>13.452229299363056</v>
      </c>
      <c r="BY75" s="34">
        <f t="shared" si="73"/>
        <v>13.649006622516557</v>
      </c>
      <c r="BZ75" s="34">
        <f t="shared" si="89"/>
        <v>8.7638491223702228</v>
      </c>
      <c r="CA75" s="34">
        <f t="shared" si="90"/>
        <v>8.8530927835051543</v>
      </c>
      <c r="CB75" s="29">
        <v>1.85</v>
      </c>
      <c r="CC75" s="2">
        <v>3541.2</v>
      </c>
      <c r="CD75" s="2">
        <v>3785.8</v>
      </c>
      <c r="CE75">
        <v>6316</v>
      </c>
      <c r="CF75" t="s">
        <v>234</v>
      </c>
      <c r="CG75" t="str">
        <f t="shared" si="74"/>
        <v>Tagamaaline</v>
      </c>
    </row>
    <row r="76" spans="1:85" ht="14.25" customHeight="1" x14ac:dyDescent="0.35">
      <c r="A76" t="s">
        <v>98</v>
      </c>
      <c r="B76" s="10" t="s">
        <v>80</v>
      </c>
      <c r="C76" s="11">
        <v>132787.73000000001</v>
      </c>
      <c r="D76" s="13"/>
      <c r="E76" s="11">
        <v>11050</v>
      </c>
      <c r="F76" s="11">
        <v>876964.13</v>
      </c>
      <c r="G76" s="11">
        <v>98247.890000000014</v>
      </c>
      <c r="H76" s="11"/>
      <c r="I76" s="11">
        <v>5657778.6800000006</v>
      </c>
      <c r="J76" s="11">
        <v>273916.33674000006</v>
      </c>
      <c r="K76" s="11">
        <v>418873.41</v>
      </c>
      <c r="L76" s="12">
        <f t="shared" si="58"/>
        <v>6988156.0600000015</v>
      </c>
      <c r="M76" s="11">
        <v>157886.75</v>
      </c>
      <c r="N76" s="13"/>
      <c r="O76" s="11">
        <v>12080</v>
      </c>
      <c r="P76" s="11">
        <v>935397.51000000036</v>
      </c>
      <c r="Q76" s="11">
        <v>117392.34</v>
      </c>
      <c r="R76" s="11">
        <v>722</v>
      </c>
      <c r="S76" s="11">
        <v>5607475.0000000009</v>
      </c>
      <c r="T76" s="11">
        <v>267219.92772000004</v>
      </c>
      <c r="U76" s="11">
        <v>421057.99</v>
      </c>
      <c r="V76" s="12">
        <f t="shared" si="59"/>
        <v>7004424.910000002</v>
      </c>
      <c r="W76" s="11">
        <v>4747223</v>
      </c>
      <c r="X76" s="11">
        <v>29784</v>
      </c>
      <c r="Y76" s="11">
        <v>299388.42</v>
      </c>
      <c r="Z76" s="51">
        <f t="shared" si="75"/>
        <v>5076395.42</v>
      </c>
      <c r="AA76" s="11">
        <v>4540634</v>
      </c>
      <c r="AB76" s="11">
        <v>45562</v>
      </c>
      <c r="AC76" s="11">
        <v>407173.02</v>
      </c>
      <c r="AD76" s="51">
        <f t="shared" si="76"/>
        <v>4993369.0199999996</v>
      </c>
      <c r="AE76" s="2">
        <v>1323</v>
      </c>
      <c r="AF76">
        <v>1240</v>
      </c>
      <c r="AG76">
        <v>1218</v>
      </c>
      <c r="AH76" s="2">
        <f t="shared" si="77"/>
        <v>1295.3333333333333</v>
      </c>
      <c r="AI76" s="2">
        <f t="shared" si="78"/>
        <v>1232.6666666666665</v>
      </c>
      <c r="AJ76" s="2">
        <v>106</v>
      </c>
      <c r="AK76" s="2">
        <v>101</v>
      </c>
      <c r="AL76" s="2">
        <v>94</v>
      </c>
      <c r="AM76" s="2">
        <f t="shared" si="79"/>
        <v>104.33333333333334</v>
      </c>
      <c r="AN76" s="2">
        <f t="shared" si="80"/>
        <v>98.666666666666657</v>
      </c>
      <c r="AO76" s="2">
        <v>123.87</v>
      </c>
      <c r="AP76" s="2">
        <v>124.74</v>
      </c>
      <c r="AQ76" s="2">
        <v>3081580.38</v>
      </c>
      <c r="AR76" s="2">
        <v>2990855.93</v>
      </c>
      <c r="AS76" s="2">
        <f t="shared" si="81"/>
        <v>2073.1279970937271</v>
      </c>
      <c r="AT76" s="2">
        <f t="shared" si="82"/>
        <v>1998.0599179626959</v>
      </c>
      <c r="AU76" s="2">
        <f>Alusharidus!AH76*2/3+Alusharidus!AL76*1/3</f>
        <v>114.33333333333334</v>
      </c>
      <c r="AV76" s="2">
        <f>Alusharidus!AL76*2/3+Alusharidus!AP76*1/3</f>
        <v>113.66666666666667</v>
      </c>
      <c r="AW76" s="18">
        <f t="shared" si="56"/>
        <v>8.1106644596831423E-2</v>
      </c>
      <c r="AX76" s="18">
        <f t="shared" si="57"/>
        <v>8.4426838326318407E-2</v>
      </c>
      <c r="AY76" s="40"/>
      <c r="AZ76" s="40"/>
      <c r="BA76" s="25" t="s">
        <v>195</v>
      </c>
      <c r="BF76" s="2">
        <f t="shared" si="60"/>
        <v>449.57257205352562</v>
      </c>
      <c r="BG76" s="2">
        <f t="shared" si="61"/>
        <v>363.9847323726197</v>
      </c>
      <c r="BH76" s="2">
        <f t="shared" si="62"/>
        <v>26.947594570252189</v>
      </c>
      <c r="BI76" s="2">
        <f t="shared" si="83"/>
        <v>58.640245110653723</v>
      </c>
      <c r="BJ76" s="2">
        <f t="shared" si="63"/>
        <v>473.52791441319647</v>
      </c>
      <c r="BK76" s="2">
        <f t="shared" si="64"/>
        <v>379.08835857220129</v>
      </c>
      <c r="BL76" s="2">
        <f t="shared" si="65"/>
        <v>28.514060978907523</v>
      </c>
      <c r="BM76" s="2">
        <f t="shared" si="84"/>
        <v>65.92549486208766</v>
      </c>
      <c r="BN76" s="2">
        <f t="shared" si="66"/>
        <v>122.99026248070005</v>
      </c>
      <c r="BO76" s="2">
        <f t="shared" si="67"/>
        <v>324.66620046320128</v>
      </c>
      <c r="BP76" s="2">
        <f t="shared" si="85"/>
        <v>1.9161091096243013</v>
      </c>
      <c r="BQ76" s="2">
        <f t="shared" si="68"/>
        <v>135.95564426717164</v>
      </c>
      <c r="BR76" s="2">
        <f t="shared" si="69"/>
        <v>334.49209167117363</v>
      </c>
      <c r="BS76" s="2">
        <f t="shared" si="86"/>
        <v>3.0801784748512091</v>
      </c>
      <c r="BT76" s="18">
        <f t="shared" si="87"/>
        <v>0.80962397396717534</v>
      </c>
      <c r="BU76" s="18">
        <f t="shared" si="88"/>
        <v>0.80056179801347882</v>
      </c>
      <c r="BV76" s="18">
        <f t="shared" si="70"/>
        <v>0.72216638790977417</v>
      </c>
      <c r="BW76" s="18">
        <f t="shared" si="71"/>
        <v>0.70638304836934829</v>
      </c>
      <c r="BX76" s="34">
        <f t="shared" si="72"/>
        <v>12.415335463258785</v>
      </c>
      <c r="BY76" s="34">
        <f t="shared" si="73"/>
        <v>12.493243243243242</v>
      </c>
      <c r="BZ76" s="34">
        <f t="shared" si="89"/>
        <v>10.45719975242862</v>
      </c>
      <c r="CA76" s="34">
        <f t="shared" si="90"/>
        <v>9.8818876596654359</v>
      </c>
      <c r="CB76" s="29">
        <v>1.2</v>
      </c>
      <c r="CC76" s="2">
        <v>2249.4</v>
      </c>
      <c r="CD76" s="2">
        <v>2146.6999999999998</v>
      </c>
      <c r="CE76">
        <v>14933</v>
      </c>
      <c r="CF76" t="s">
        <v>234</v>
      </c>
      <c r="CG76" t="str">
        <f t="shared" si="74"/>
        <v>Keskuslik</v>
      </c>
    </row>
    <row r="77" spans="1:85" ht="14.25" customHeight="1" x14ac:dyDescent="0.35">
      <c r="A77" t="s">
        <v>100</v>
      </c>
      <c r="B77" s="10" t="s">
        <v>81</v>
      </c>
      <c r="C77" s="11">
        <v>65814.33</v>
      </c>
      <c r="D77" s="11">
        <v>127.57</v>
      </c>
      <c r="E77" s="13"/>
      <c r="F77" s="11">
        <v>456043.12999999989</v>
      </c>
      <c r="G77" s="11">
        <v>89395.820000000022</v>
      </c>
      <c r="H77" s="11"/>
      <c r="I77" s="11">
        <v>2712661</v>
      </c>
      <c r="J77" s="11">
        <v>93237.901140000016</v>
      </c>
      <c r="K77" s="11">
        <v>209209.67</v>
      </c>
      <c r="L77" s="12">
        <f t="shared" si="58"/>
        <v>3354459.88</v>
      </c>
      <c r="M77" s="11">
        <v>85096.35</v>
      </c>
      <c r="N77" s="11">
        <v>304.04000000000002</v>
      </c>
      <c r="O77" s="11">
        <v>258</v>
      </c>
      <c r="P77" s="11">
        <v>519430.39</v>
      </c>
      <c r="Q77" s="11">
        <v>89387.150000000009</v>
      </c>
      <c r="R77" s="11"/>
      <c r="S77" s="11">
        <v>2787307.98</v>
      </c>
      <c r="T77" s="11">
        <v>92672.101080000008</v>
      </c>
      <c r="U77" s="11">
        <v>236366.35</v>
      </c>
      <c r="V77" s="12">
        <f t="shared" si="59"/>
        <v>3539117.96</v>
      </c>
      <c r="W77" s="11">
        <v>2219902</v>
      </c>
      <c r="X77" s="11">
        <v>20820</v>
      </c>
      <c r="Y77" s="11">
        <v>61920.819999999992</v>
      </c>
      <c r="Z77" s="51">
        <f t="shared" si="75"/>
        <v>2302642.8199999998</v>
      </c>
      <c r="AA77" s="11">
        <v>2296913</v>
      </c>
      <c r="AB77" s="11">
        <v>27032</v>
      </c>
      <c r="AC77" s="11">
        <v>154484.54</v>
      </c>
      <c r="AD77" s="51">
        <f t="shared" si="76"/>
        <v>2478429.54</v>
      </c>
      <c r="AE77" s="2">
        <v>563</v>
      </c>
      <c r="AF77">
        <v>564</v>
      </c>
      <c r="AG77">
        <v>603</v>
      </c>
      <c r="AH77" s="2">
        <f t="shared" si="77"/>
        <v>563.33333333333326</v>
      </c>
      <c r="AI77" s="2">
        <f t="shared" si="78"/>
        <v>577</v>
      </c>
      <c r="AJ77" s="2">
        <v>42</v>
      </c>
      <c r="AK77" s="2">
        <v>43</v>
      </c>
      <c r="AL77" s="2">
        <v>48</v>
      </c>
      <c r="AM77" s="2">
        <f t="shared" si="79"/>
        <v>42.333333333333336</v>
      </c>
      <c r="AN77" s="2">
        <f t="shared" si="80"/>
        <v>44.666666666666671</v>
      </c>
      <c r="AO77" s="2">
        <v>58.12</v>
      </c>
      <c r="AP77" s="2">
        <v>54.430000000000007</v>
      </c>
      <c r="AQ77" s="2">
        <v>1476099.66</v>
      </c>
      <c r="AR77" s="2">
        <v>1552152.65</v>
      </c>
      <c r="AS77" s="2">
        <f t="shared" si="81"/>
        <v>2116.4539745354436</v>
      </c>
      <c r="AT77" s="2">
        <f t="shared" si="82"/>
        <v>2376.3743186967968</v>
      </c>
      <c r="AU77" s="2">
        <f>Alusharidus!AH77*2/3+Alusharidus!AL77*1/3</f>
        <v>46.666666666666671</v>
      </c>
      <c r="AV77" s="2">
        <f>Alusharidus!AL77*2/3+Alusharidus!AP77*1/3</f>
        <v>44.333333333333336</v>
      </c>
      <c r="AW77" s="18">
        <f t="shared" si="56"/>
        <v>7.6502732240437174E-2</v>
      </c>
      <c r="AX77" s="18">
        <f t="shared" si="57"/>
        <v>7.1351931330472101E-2</v>
      </c>
      <c r="AY77" s="40"/>
      <c r="AZ77" s="40"/>
      <c r="BA77" s="25" t="s">
        <v>195</v>
      </c>
      <c r="BF77" s="2">
        <f t="shared" si="60"/>
        <v>496.22187573964499</v>
      </c>
      <c r="BG77" s="2">
        <f t="shared" si="61"/>
        <v>401.2812130177515</v>
      </c>
      <c r="BH77" s="2">
        <f t="shared" si="62"/>
        <v>30.948176035502964</v>
      </c>
      <c r="BI77" s="2">
        <f t="shared" si="83"/>
        <v>63.992486686390521</v>
      </c>
      <c r="BJ77" s="2">
        <f t="shared" si="63"/>
        <v>511.13777585210863</v>
      </c>
      <c r="BK77" s="2">
        <f t="shared" si="64"/>
        <v>402.55747833622189</v>
      </c>
      <c r="BL77" s="2">
        <f t="shared" si="65"/>
        <v>34.137254477180825</v>
      </c>
      <c r="BM77" s="2">
        <f t="shared" si="84"/>
        <v>74.443043038705923</v>
      </c>
      <c r="BN77" s="2">
        <f t="shared" si="66"/>
        <v>155.59423964497043</v>
      </c>
      <c r="BO77" s="2">
        <f t="shared" si="67"/>
        <v>337.54775443786986</v>
      </c>
      <c r="BP77" s="2">
        <f t="shared" si="85"/>
        <v>3.07988165680473</v>
      </c>
      <c r="BQ77" s="2">
        <f t="shared" si="68"/>
        <v>153.19012420566145</v>
      </c>
      <c r="BR77" s="2">
        <f t="shared" si="69"/>
        <v>354.043549971115</v>
      </c>
      <c r="BS77" s="2">
        <f t="shared" si="86"/>
        <v>3.9041016753321856</v>
      </c>
      <c r="BT77" s="18">
        <f t="shared" si="87"/>
        <v>0.80867295989242838</v>
      </c>
      <c r="BU77" s="18">
        <f t="shared" si="88"/>
        <v>0.78757136990144294</v>
      </c>
      <c r="BV77" s="18">
        <f t="shared" si="70"/>
        <v>0.68023553765084821</v>
      </c>
      <c r="BW77" s="18">
        <f t="shared" si="71"/>
        <v>0.69265776606101026</v>
      </c>
      <c r="BX77" s="34">
        <f t="shared" si="72"/>
        <v>13.307086614173226</v>
      </c>
      <c r="BY77" s="34">
        <f t="shared" si="73"/>
        <v>12.917910447761193</v>
      </c>
      <c r="BZ77" s="34">
        <f t="shared" si="89"/>
        <v>9.6925900435879786</v>
      </c>
      <c r="CA77" s="34">
        <f t="shared" si="90"/>
        <v>10.600771633290464</v>
      </c>
      <c r="CB77" s="29">
        <v>1.69</v>
      </c>
      <c r="CC77" s="2">
        <v>4411.7</v>
      </c>
      <c r="CD77" s="2">
        <v>5019.8999999999996</v>
      </c>
      <c r="CE77">
        <v>5874</v>
      </c>
      <c r="CF77" t="s">
        <v>234</v>
      </c>
      <c r="CG77" t="str">
        <f t="shared" si="74"/>
        <v>Keskus-tagamaaline</v>
      </c>
    </row>
    <row r="78" spans="1:85" ht="14.25" customHeight="1" x14ac:dyDescent="0.35">
      <c r="A78" t="s">
        <v>163</v>
      </c>
      <c r="B78" s="10" t="s">
        <v>82</v>
      </c>
      <c r="C78" s="11">
        <v>48759.79</v>
      </c>
      <c r="D78" s="13"/>
      <c r="E78" s="13"/>
      <c r="F78" s="11">
        <v>363223.35000000021</v>
      </c>
      <c r="G78" s="11">
        <v>72743.579999999987</v>
      </c>
      <c r="H78" s="11"/>
      <c r="I78" s="11">
        <v>2350479.1800000002</v>
      </c>
      <c r="J78" s="11">
        <v>123347.37006</v>
      </c>
      <c r="K78" s="11">
        <v>342201.03</v>
      </c>
      <c r="L78" s="12">
        <f t="shared" si="58"/>
        <v>3031919.7700000005</v>
      </c>
      <c r="M78" s="11">
        <v>67198.81</v>
      </c>
      <c r="N78" s="13"/>
      <c r="O78" s="13"/>
      <c r="P78" s="11">
        <v>462289.1</v>
      </c>
      <c r="Q78" s="11">
        <v>73689.42</v>
      </c>
      <c r="R78" s="11"/>
      <c r="S78" s="11">
        <v>2349586.92</v>
      </c>
      <c r="T78" s="11">
        <v>125778.14142</v>
      </c>
      <c r="U78" s="11">
        <v>279078.65999999997</v>
      </c>
      <c r="V78" s="12">
        <f t="shared" si="59"/>
        <v>3084464.0700000003</v>
      </c>
      <c r="W78" s="11">
        <v>1765920</v>
      </c>
      <c r="X78" s="11">
        <v>35959.199999999997</v>
      </c>
      <c r="Y78" s="11">
        <v>56676.289999999994</v>
      </c>
      <c r="Z78" s="51">
        <f t="shared" si="75"/>
        <v>1858555.49</v>
      </c>
      <c r="AA78" s="11">
        <v>1721795</v>
      </c>
      <c r="AB78" s="11">
        <v>46116.55</v>
      </c>
      <c r="AC78" s="11">
        <v>146941.32</v>
      </c>
      <c r="AD78" s="51">
        <f t="shared" si="76"/>
        <v>1914852.87</v>
      </c>
      <c r="AE78" s="2">
        <v>409</v>
      </c>
      <c r="AF78">
        <v>397</v>
      </c>
      <c r="AG78">
        <v>395</v>
      </c>
      <c r="AH78" s="2">
        <f t="shared" si="77"/>
        <v>405</v>
      </c>
      <c r="AI78" s="2">
        <f t="shared" si="78"/>
        <v>396.33333333333337</v>
      </c>
      <c r="AJ78" s="2">
        <v>30</v>
      </c>
      <c r="AK78" s="2">
        <v>31</v>
      </c>
      <c r="AL78" s="2">
        <v>28</v>
      </c>
      <c r="AM78" s="2">
        <f t="shared" si="79"/>
        <v>30.333333333333336</v>
      </c>
      <c r="AN78" s="2">
        <f t="shared" si="80"/>
        <v>30</v>
      </c>
      <c r="AO78" s="2">
        <v>44.14</v>
      </c>
      <c r="AP78" s="2">
        <v>41.34</v>
      </c>
      <c r="AQ78" s="2">
        <v>1092881.26</v>
      </c>
      <c r="AR78" s="2">
        <v>1050386.6000000001</v>
      </c>
      <c r="AS78" s="2">
        <f t="shared" si="81"/>
        <v>2063.2858707143937</v>
      </c>
      <c r="AT78" s="2">
        <f t="shared" si="82"/>
        <v>2117.3734075149168</v>
      </c>
      <c r="AU78" s="2">
        <f>Alusharidus!AH78*2/3+Alusharidus!AL78*1/3</f>
        <v>43.333333333333329</v>
      </c>
      <c r="AV78" s="2">
        <f>Alusharidus!AL78*2/3+Alusharidus!AP78*1/3</f>
        <v>40.333333333333336</v>
      </c>
      <c r="AW78" s="18">
        <f t="shared" si="56"/>
        <v>9.6654275092936795E-2</v>
      </c>
      <c r="AX78" s="18">
        <f t="shared" si="57"/>
        <v>9.2366412213740465E-2</v>
      </c>
      <c r="AY78" s="40"/>
      <c r="AZ78" s="40"/>
      <c r="BA78" s="25" t="s">
        <v>195</v>
      </c>
      <c r="BE78" t="s">
        <v>206</v>
      </c>
      <c r="BF78" s="2">
        <f t="shared" si="60"/>
        <v>623.85180452674911</v>
      </c>
      <c r="BG78" s="2">
        <f t="shared" si="61"/>
        <v>483.63769135802471</v>
      </c>
      <c r="BH78" s="2">
        <f t="shared" si="62"/>
        <v>70.411734567901235</v>
      </c>
      <c r="BI78" s="2">
        <f t="shared" si="83"/>
        <v>69.802378600823161</v>
      </c>
      <c r="BJ78" s="2">
        <f t="shared" si="63"/>
        <v>648.54164634146343</v>
      </c>
      <c r="BK78" s="2">
        <f t="shared" si="64"/>
        <v>494.0258452481076</v>
      </c>
      <c r="BL78" s="2">
        <f t="shared" si="65"/>
        <v>58.679280908326312</v>
      </c>
      <c r="BM78" s="2">
        <f t="shared" si="84"/>
        <v>95.836520185029514</v>
      </c>
      <c r="BN78" s="2">
        <f t="shared" si="66"/>
        <v>241.43297942386843</v>
      </c>
      <c r="BO78" s="2">
        <f t="shared" si="67"/>
        <v>375.01981275720163</v>
      </c>
      <c r="BP78" s="2">
        <f t="shared" si="85"/>
        <v>7.3990123456790116</v>
      </c>
      <c r="BQ78" s="2">
        <f t="shared" si="68"/>
        <v>245.92329688814129</v>
      </c>
      <c r="BR78" s="2">
        <f t="shared" si="69"/>
        <v>392.92185029436496</v>
      </c>
      <c r="BS78" s="2">
        <f t="shared" si="86"/>
        <v>9.696499158957181</v>
      </c>
      <c r="BT78" s="18">
        <f t="shared" si="87"/>
        <v>0.77524451776637859</v>
      </c>
      <c r="BU78" s="18">
        <f t="shared" si="88"/>
        <v>0.76174883761897727</v>
      </c>
      <c r="BV78" s="18">
        <f t="shared" si="70"/>
        <v>0.60113605512721058</v>
      </c>
      <c r="BW78" s="18">
        <f t="shared" si="71"/>
        <v>0.60585446210109362</v>
      </c>
      <c r="BX78" s="34">
        <f t="shared" si="72"/>
        <v>13.35164835164835</v>
      </c>
      <c r="BY78" s="34">
        <f t="shared" si="73"/>
        <v>13.211111111111112</v>
      </c>
      <c r="BZ78" s="34">
        <f t="shared" si="89"/>
        <v>9.1753511554145906</v>
      </c>
      <c r="CA78" s="34">
        <f t="shared" si="90"/>
        <v>9.5871633607482671</v>
      </c>
      <c r="CB78" s="29">
        <v>1.8</v>
      </c>
      <c r="CC78" s="2">
        <v>4563.2</v>
      </c>
      <c r="CD78" s="2">
        <v>4315.3</v>
      </c>
      <c r="CE78">
        <v>4226</v>
      </c>
      <c r="CF78" t="s">
        <v>234</v>
      </c>
      <c r="CG78" t="str">
        <f t="shared" si="74"/>
        <v>Tagamaaline</v>
      </c>
    </row>
    <row r="79" spans="1:85" ht="14.25" customHeight="1" x14ac:dyDescent="0.35">
      <c r="A79" t="s">
        <v>112</v>
      </c>
      <c r="B79" s="10" t="s">
        <v>83</v>
      </c>
      <c r="C79" s="11">
        <v>62569.930000000008</v>
      </c>
      <c r="D79" s="11">
        <v>50</v>
      </c>
      <c r="E79" s="13"/>
      <c r="F79" s="11">
        <v>495399.53</v>
      </c>
      <c r="G79" s="11">
        <v>122382.99</v>
      </c>
      <c r="H79" s="11">
        <v>740.38</v>
      </c>
      <c r="I79" s="11">
        <v>2064452.19</v>
      </c>
      <c r="J79" s="11">
        <v>166141.34658000001</v>
      </c>
      <c r="K79" s="11">
        <v>189013</v>
      </c>
      <c r="L79" s="12">
        <f t="shared" si="58"/>
        <v>2689101.6599999997</v>
      </c>
      <c r="M79" s="11">
        <v>77589.72</v>
      </c>
      <c r="N79" s="11">
        <v>52.73</v>
      </c>
      <c r="O79" s="13"/>
      <c r="P79" s="11">
        <v>593451.43999999971</v>
      </c>
      <c r="Q79" s="11">
        <v>135763.56</v>
      </c>
      <c r="R79" s="11"/>
      <c r="S79" s="11">
        <v>2030953.59</v>
      </c>
      <c r="T79" s="11">
        <v>113877.64830000002</v>
      </c>
      <c r="U79" s="11">
        <v>178040</v>
      </c>
      <c r="V79" s="12">
        <f t="shared" si="59"/>
        <v>2744323.9199999995</v>
      </c>
      <c r="W79" s="11">
        <v>1690922</v>
      </c>
      <c r="X79" s="11">
        <v>51838</v>
      </c>
      <c r="Y79" s="11">
        <v>83745.459999999992</v>
      </c>
      <c r="Z79" s="51">
        <f t="shared" si="75"/>
        <v>1826505.46</v>
      </c>
      <c r="AA79" s="11">
        <v>1620167</v>
      </c>
      <c r="AB79" s="11">
        <v>54976</v>
      </c>
      <c r="AC79" s="11">
        <v>94623.57</v>
      </c>
      <c r="AD79" s="51">
        <f t="shared" si="76"/>
        <v>1769766.57</v>
      </c>
      <c r="AE79" s="2">
        <v>346</v>
      </c>
      <c r="AF79">
        <v>328</v>
      </c>
      <c r="AG79">
        <v>325</v>
      </c>
      <c r="AH79" s="2">
        <f t="shared" si="77"/>
        <v>340</v>
      </c>
      <c r="AI79" s="2">
        <f t="shared" si="78"/>
        <v>327</v>
      </c>
      <c r="AJ79" s="2">
        <v>38</v>
      </c>
      <c r="AK79" s="2">
        <v>41</v>
      </c>
      <c r="AL79" s="2">
        <v>38</v>
      </c>
      <c r="AM79" s="2">
        <f t="shared" si="79"/>
        <v>39</v>
      </c>
      <c r="AN79" s="2">
        <f t="shared" si="80"/>
        <v>40</v>
      </c>
      <c r="AO79" s="2">
        <v>41.93</v>
      </c>
      <c r="AP79" s="2">
        <v>39.4</v>
      </c>
      <c r="AQ79" s="2">
        <v>975429.16999999993</v>
      </c>
      <c r="AR79" s="2">
        <v>1003284.67</v>
      </c>
      <c r="AS79" s="2">
        <f t="shared" si="81"/>
        <v>1938.6063478813894</v>
      </c>
      <c r="AT79" s="2">
        <f t="shared" si="82"/>
        <v>2122.0064932318105</v>
      </c>
      <c r="AU79" s="2">
        <f>Alusharidus!AH79*2/3+Alusharidus!AL79*1/3</f>
        <v>44</v>
      </c>
      <c r="AV79" s="2">
        <f>Alusharidus!AL79*2/3+Alusharidus!AP79*1/3</f>
        <v>0</v>
      </c>
      <c r="AW79" s="18">
        <f t="shared" si="56"/>
        <v>0.11458333333333333</v>
      </c>
      <c r="AX79" s="18">
        <f t="shared" si="57"/>
        <v>0</v>
      </c>
      <c r="AY79" s="2">
        <f>L79*AW79</f>
        <v>308126.23187499994</v>
      </c>
      <c r="AZ79" s="40"/>
      <c r="BF79" s="2">
        <f t="shared" si="60"/>
        <v>583.57240885416661</v>
      </c>
      <c r="BG79" s="2">
        <f t="shared" si="61"/>
        <v>505.99318382352936</v>
      </c>
      <c r="BH79" s="2">
        <f t="shared" si="62"/>
        <v>46.508181372549018</v>
      </c>
      <c r="BI79" s="2">
        <f t="shared" si="83"/>
        <v>31.071043658088229</v>
      </c>
      <c r="BJ79" s="2">
        <f t="shared" si="63"/>
        <v>699.36899082568789</v>
      </c>
      <c r="BK79" s="2">
        <f t="shared" si="64"/>
        <v>517.57227064220183</v>
      </c>
      <c r="BL79" s="2">
        <f t="shared" si="65"/>
        <v>45.372069317023438</v>
      </c>
      <c r="BM79" s="2">
        <f t="shared" si="84"/>
        <v>136.42465086646263</v>
      </c>
      <c r="BN79" s="2">
        <f t="shared" si="66"/>
        <v>135.89950199142149</v>
      </c>
      <c r="BO79" s="2">
        <f t="shared" si="67"/>
        <v>434.96751470588237</v>
      </c>
      <c r="BP79" s="2">
        <f t="shared" si="85"/>
        <v>12.705392156862729</v>
      </c>
      <c r="BQ79" s="2">
        <f t="shared" si="68"/>
        <v>248.35814220183468</v>
      </c>
      <c r="BR79" s="2">
        <f t="shared" si="69"/>
        <v>437.00065494393476</v>
      </c>
      <c r="BS79" s="2">
        <f t="shared" si="86"/>
        <v>14.010193679918473</v>
      </c>
      <c r="BT79" s="18">
        <f t="shared" si="87"/>
        <v>0.86706152680699455</v>
      </c>
      <c r="BU79" s="18">
        <f t="shared" si="88"/>
        <v>0.74005607545045216</v>
      </c>
      <c r="BV79" s="18">
        <f t="shared" si="70"/>
        <v>0.74535311832156848</v>
      </c>
      <c r="BW79" s="18">
        <f t="shared" si="71"/>
        <v>0.62484991567613501</v>
      </c>
      <c r="BX79" s="34">
        <f t="shared" si="72"/>
        <v>8.7179487179487172</v>
      </c>
      <c r="BY79" s="34">
        <f t="shared" si="73"/>
        <v>8.1750000000000007</v>
      </c>
      <c r="BZ79" s="34">
        <f t="shared" si="89"/>
        <v>8.1087526830431678</v>
      </c>
      <c r="CA79" s="34">
        <f t="shared" si="90"/>
        <v>8.2994923857868024</v>
      </c>
      <c r="CB79" s="29">
        <v>2.0099999999999998</v>
      </c>
      <c r="CC79" s="2">
        <v>6586.8</v>
      </c>
      <c r="CD79" s="2">
        <v>6178.6</v>
      </c>
      <c r="CE79">
        <v>5001</v>
      </c>
      <c r="CF79" t="s">
        <v>234</v>
      </c>
      <c r="CG79" t="str">
        <f t="shared" si="74"/>
        <v>Tagamaaline</v>
      </c>
    </row>
    <row r="80" spans="1:85" ht="14.25" customHeight="1" x14ac:dyDescent="0.35">
      <c r="A80" t="s">
        <v>90</v>
      </c>
      <c r="B80" s="10" t="s">
        <v>84</v>
      </c>
      <c r="C80" s="11">
        <v>89006.400000000009</v>
      </c>
      <c r="D80" s="11">
        <v>3500</v>
      </c>
      <c r="E80" s="13"/>
      <c r="F80" s="11">
        <v>742466.92999999993</v>
      </c>
      <c r="G80" s="11">
        <v>258661.59</v>
      </c>
      <c r="H80" s="11"/>
      <c r="I80" s="11">
        <v>4810295.45</v>
      </c>
      <c r="J80" s="11">
        <v>243077.44374000002</v>
      </c>
      <c r="K80" s="11">
        <v>248751.35</v>
      </c>
      <c r="L80" s="12">
        <f t="shared" si="58"/>
        <v>5635358.54</v>
      </c>
      <c r="M80" s="11">
        <v>120132.52</v>
      </c>
      <c r="N80" s="13"/>
      <c r="O80" s="13"/>
      <c r="P80" s="11">
        <v>857419.71</v>
      </c>
      <c r="Q80" s="11">
        <v>273335.94</v>
      </c>
      <c r="R80" s="11"/>
      <c r="S80" s="11">
        <v>4902938.63</v>
      </c>
      <c r="T80" s="11">
        <v>248565.98664000002</v>
      </c>
      <c r="U80" s="11">
        <v>245018.63</v>
      </c>
      <c r="V80" s="12">
        <f t="shared" si="59"/>
        <v>5852173.5499999989</v>
      </c>
      <c r="W80" s="11">
        <v>3827967</v>
      </c>
      <c r="X80" s="11">
        <v>304551.56</v>
      </c>
      <c r="Y80" s="11">
        <v>113706.40000000008</v>
      </c>
      <c r="Z80" s="51">
        <f t="shared" si="75"/>
        <v>4246224.96</v>
      </c>
      <c r="AA80" s="11">
        <v>3918514</v>
      </c>
      <c r="AB80" s="11">
        <v>330619</v>
      </c>
      <c r="AC80" s="11">
        <v>252002.44000000006</v>
      </c>
      <c r="AD80" s="51">
        <f t="shared" si="76"/>
        <v>4501135.4400000004</v>
      </c>
      <c r="AE80" s="2">
        <v>1178</v>
      </c>
      <c r="AF80">
        <v>1151</v>
      </c>
      <c r="AG80">
        <v>1148</v>
      </c>
      <c r="AH80" s="2">
        <f t="shared" si="77"/>
        <v>1169</v>
      </c>
      <c r="AI80" s="2">
        <f t="shared" si="78"/>
        <v>1150</v>
      </c>
      <c r="AJ80" s="2">
        <v>72</v>
      </c>
      <c r="AK80" s="2">
        <v>69</v>
      </c>
      <c r="AL80" s="2">
        <v>71</v>
      </c>
      <c r="AM80" s="2">
        <f t="shared" si="79"/>
        <v>71</v>
      </c>
      <c r="AN80" s="2">
        <f t="shared" si="80"/>
        <v>69.666666666666671</v>
      </c>
      <c r="AO80" s="2">
        <v>105.98</v>
      </c>
      <c r="AP80" s="2">
        <v>103.05</v>
      </c>
      <c r="AQ80" s="2">
        <v>2543972.3199999998</v>
      </c>
      <c r="AR80" s="2">
        <v>2576314.94</v>
      </c>
      <c r="AS80" s="2">
        <f t="shared" si="81"/>
        <v>2000.3556645908031</v>
      </c>
      <c r="AT80" s="2">
        <f t="shared" si="82"/>
        <v>2083.3858482937085</v>
      </c>
      <c r="AU80" s="2">
        <f>Alusharidus!AH80*2/3+Alusharidus!AL80*1/3</f>
        <v>0</v>
      </c>
      <c r="AV80" s="2">
        <f>Alusharidus!AL80*2/3+Alusharidus!AP80*1/3</f>
        <v>0</v>
      </c>
      <c r="AW80" s="18">
        <f t="shared" si="56"/>
        <v>0</v>
      </c>
      <c r="AX80" s="18">
        <f t="shared" si="57"/>
        <v>0</v>
      </c>
      <c r="AY80" s="40"/>
      <c r="AZ80" s="40"/>
      <c r="BF80" s="2">
        <f t="shared" si="60"/>
        <v>401.72216566866268</v>
      </c>
      <c r="BG80" s="2">
        <f t="shared" si="61"/>
        <v>342.90671870544628</v>
      </c>
      <c r="BH80" s="2">
        <f t="shared" si="62"/>
        <v>17.732488594240092</v>
      </c>
      <c r="BI80" s="2">
        <f t="shared" si="83"/>
        <v>41.082958368976307</v>
      </c>
      <c r="BJ80" s="2">
        <f t="shared" si="63"/>
        <v>424.07054710144916</v>
      </c>
      <c r="BK80" s="2">
        <f t="shared" si="64"/>
        <v>355.28540797101454</v>
      </c>
      <c r="BL80" s="2">
        <f t="shared" si="65"/>
        <v>17.754973188405796</v>
      </c>
      <c r="BM80" s="2">
        <f t="shared" si="84"/>
        <v>51.03016594202883</v>
      </c>
      <c r="BN80" s="2">
        <f t="shared" si="66"/>
        <v>99.025775591673792</v>
      </c>
      <c r="BO80" s="2">
        <f t="shared" si="67"/>
        <v>280.98612774451095</v>
      </c>
      <c r="BP80" s="2">
        <f t="shared" si="85"/>
        <v>21.710262332477953</v>
      </c>
      <c r="BQ80" s="2">
        <f t="shared" si="68"/>
        <v>97.901312318840482</v>
      </c>
      <c r="BR80" s="2">
        <f t="shared" si="69"/>
        <v>302.21133623188405</v>
      </c>
      <c r="BS80" s="2">
        <f t="shared" si="86"/>
        <v>23.957898550724622</v>
      </c>
      <c r="BT80" s="18">
        <f t="shared" si="87"/>
        <v>0.85359173082889594</v>
      </c>
      <c r="BU80" s="18">
        <f t="shared" si="88"/>
        <v>0.83779788622297469</v>
      </c>
      <c r="BV80" s="18">
        <f t="shared" si="70"/>
        <v>0.69945388071084469</v>
      </c>
      <c r="BW80" s="18">
        <f t="shared" si="71"/>
        <v>0.71264401241142283</v>
      </c>
      <c r="BX80" s="34">
        <f t="shared" si="72"/>
        <v>16.464788732394368</v>
      </c>
      <c r="BY80" s="34">
        <f t="shared" si="73"/>
        <v>16.507177033492823</v>
      </c>
      <c r="BZ80" s="34">
        <f t="shared" si="89"/>
        <v>11.030383091149274</v>
      </c>
      <c r="CA80" s="34">
        <f t="shared" si="90"/>
        <v>11.159631246967491</v>
      </c>
      <c r="CB80" s="29">
        <v>1</v>
      </c>
      <c r="CC80" s="2">
        <v>1312.1</v>
      </c>
      <c r="CD80" s="2">
        <v>1260.5</v>
      </c>
      <c r="CE80">
        <v>11358</v>
      </c>
      <c r="CF80" t="s">
        <v>234</v>
      </c>
      <c r="CG80" t="str">
        <f t="shared" si="74"/>
        <v>Keskuslik</v>
      </c>
    </row>
    <row r="81" spans="1:90" ht="14.25" customHeight="1" x14ac:dyDescent="0.35">
      <c r="A81" t="s">
        <v>89</v>
      </c>
      <c r="B81" s="10" t="s">
        <v>85</v>
      </c>
      <c r="C81" s="11">
        <v>156244.85</v>
      </c>
      <c r="D81" s="13"/>
      <c r="E81" s="13"/>
      <c r="F81" s="11">
        <v>1319158.44</v>
      </c>
      <c r="G81" s="11">
        <v>376212.74</v>
      </c>
      <c r="H81" s="11"/>
      <c r="I81" s="11">
        <v>5679609.5300000012</v>
      </c>
      <c r="J81" s="11">
        <v>354649.26312000002</v>
      </c>
      <c r="K81" s="11">
        <v>511280.32</v>
      </c>
      <c r="L81" s="12">
        <f t="shared" si="58"/>
        <v>7290080.4000000013</v>
      </c>
      <c r="M81" s="11">
        <v>167576.75</v>
      </c>
      <c r="N81" s="11">
        <v>69</v>
      </c>
      <c r="O81" s="13"/>
      <c r="P81" s="11">
        <v>1380719.5199999991</v>
      </c>
      <c r="Q81" s="11">
        <v>421377.35</v>
      </c>
      <c r="R81" s="11"/>
      <c r="S81" s="11">
        <v>5815559.1300000008</v>
      </c>
      <c r="T81" s="11">
        <v>369738.82572000002</v>
      </c>
      <c r="U81" s="11">
        <v>532753.01</v>
      </c>
      <c r="V81" s="12">
        <f t="shared" si="59"/>
        <v>7475300.0600000005</v>
      </c>
      <c r="W81" s="11">
        <v>4269049</v>
      </c>
      <c r="X81" s="11">
        <v>229104</v>
      </c>
      <c r="Y81" s="11">
        <v>78058.140000000014</v>
      </c>
      <c r="Z81" s="51">
        <f t="shared" si="75"/>
        <v>4576211.1399999997</v>
      </c>
      <c r="AA81" s="11">
        <v>4423497</v>
      </c>
      <c r="AB81" s="11">
        <v>252008</v>
      </c>
      <c r="AC81" s="11">
        <v>123135.01000000013</v>
      </c>
      <c r="AD81" s="51">
        <f t="shared" si="76"/>
        <v>4798640.01</v>
      </c>
      <c r="AE81" s="2">
        <v>1065</v>
      </c>
      <c r="AF81">
        <v>1091</v>
      </c>
      <c r="AG81">
        <v>1093</v>
      </c>
      <c r="AH81" s="2">
        <f t="shared" si="77"/>
        <v>1073.6666666666667</v>
      </c>
      <c r="AI81" s="2">
        <f t="shared" si="78"/>
        <v>1091.6666666666667</v>
      </c>
      <c r="AJ81" s="2">
        <v>69</v>
      </c>
      <c r="AK81" s="2">
        <v>71</v>
      </c>
      <c r="AL81" s="2">
        <v>71</v>
      </c>
      <c r="AM81" s="2">
        <f t="shared" si="79"/>
        <v>69.666666666666671</v>
      </c>
      <c r="AN81" s="2">
        <f t="shared" si="80"/>
        <v>71</v>
      </c>
      <c r="AO81" s="2">
        <v>106.5</v>
      </c>
      <c r="AP81" s="2">
        <v>97.28</v>
      </c>
      <c r="AQ81" s="2">
        <v>2701403.52</v>
      </c>
      <c r="AR81" s="2">
        <v>2696158.43</v>
      </c>
      <c r="AS81" s="2">
        <f t="shared" si="81"/>
        <v>2113.7742723004694</v>
      </c>
      <c r="AT81" s="2">
        <f t="shared" si="82"/>
        <v>2309.6203656112939</v>
      </c>
      <c r="AU81" s="2">
        <f>Alusharidus!AH81*2/3+Alusharidus!AL81*1/3</f>
        <v>5.333333333333333</v>
      </c>
      <c r="AV81" s="2">
        <f>Alusharidus!AL81*2/3+Alusharidus!AP81*1/3</f>
        <v>4.6666666666666661</v>
      </c>
      <c r="AW81" s="18">
        <f t="shared" si="56"/>
        <v>4.9428483163422923E-3</v>
      </c>
      <c r="AX81" s="18">
        <f t="shared" si="57"/>
        <v>4.2566129522651252E-3</v>
      </c>
      <c r="AY81" s="2">
        <f>L81*AW81</f>
        <v>36033.761631139954</v>
      </c>
      <c r="AZ81" s="2">
        <f>V81*AX81</f>
        <v>31819.459057464268</v>
      </c>
      <c r="BF81" s="2">
        <f t="shared" si="60"/>
        <v>563.02752548656179</v>
      </c>
      <c r="BG81" s="2">
        <f t="shared" si="61"/>
        <v>440.82657016454522</v>
      </c>
      <c r="BH81" s="2">
        <f t="shared" si="62"/>
        <v>39.683352995963986</v>
      </c>
      <c r="BI81" s="2">
        <f t="shared" si="83"/>
        <v>82.517602326052582</v>
      </c>
      <c r="BJ81" s="2">
        <f t="shared" si="63"/>
        <v>568.20462602614782</v>
      </c>
      <c r="BK81" s="2">
        <f t="shared" si="64"/>
        <v>443.93581145038166</v>
      </c>
      <c r="BL81" s="2">
        <f t="shared" si="65"/>
        <v>40.668168702290075</v>
      </c>
      <c r="BM81" s="2">
        <f t="shared" si="84"/>
        <v>83.600645873476083</v>
      </c>
      <c r="BN81" s="2">
        <f t="shared" si="66"/>
        <v>207.8419356076422</v>
      </c>
      <c r="BO81" s="2">
        <f t="shared" si="67"/>
        <v>337.40353461657867</v>
      </c>
      <c r="BP81" s="2">
        <f t="shared" si="85"/>
        <v>17.782055262340918</v>
      </c>
      <c r="BQ81" s="2">
        <f t="shared" si="68"/>
        <v>201.89622831622412</v>
      </c>
      <c r="BR81" s="2">
        <f t="shared" si="69"/>
        <v>347.07114580152665</v>
      </c>
      <c r="BS81" s="2">
        <f t="shared" si="86"/>
        <v>19.23725190839707</v>
      </c>
      <c r="BT81" s="18">
        <f t="shared" si="87"/>
        <v>0.78295740476202835</v>
      </c>
      <c r="BU81" s="18">
        <f t="shared" si="88"/>
        <v>0.78129566553362151</v>
      </c>
      <c r="BV81" s="18">
        <f t="shared" si="70"/>
        <v>0.59926650002590642</v>
      </c>
      <c r="BW81" s="18">
        <f t="shared" si="71"/>
        <v>0.61082069716474829</v>
      </c>
      <c r="BX81" s="34">
        <f t="shared" si="72"/>
        <v>15.411483253588516</v>
      </c>
      <c r="BY81" s="34">
        <f t="shared" si="73"/>
        <v>15.375586854460096</v>
      </c>
      <c r="BZ81" s="34">
        <f t="shared" si="89"/>
        <v>10.081377151799687</v>
      </c>
      <c r="CA81" s="34">
        <f t="shared" si="90"/>
        <v>11.221902412280702</v>
      </c>
      <c r="CB81" s="29">
        <v>1.77</v>
      </c>
      <c r="CC81" s="2">
        <v>4498.8</v>
      </c>
      <c r="CD81" s="2">
        <v>4969.6000000000004</v>
      </c>
      <c r="CE81">
        <v>10696</v>
      </c>
      <c r="CF81" t="s">
        <v>234</v>
      </c>
      <c r="CG81" t="str">
        <f t="shared" si="74"/>
        <v>Tagamaaline</v>
      </c>
    </row>
    <row r="82" spans="1:90" ht="14.25" customHeight="1" x14ac:dyDescent="0.35">
      <c r="A82" t="s">
        <v>107</v>
      </c>
      <c r="B82" s="10" t="s">
        <v>86</v>
      </c>
      <c r="C82" s="11">
        <v>46524.6</v>
      </c>
      <c r="D82" s="13"/>
      <c r="E82" s="13"/>
      <c r="F82" s="11">
        <v>322353.38</v>
      </c>
      <c r="G82" s="11">
        <v>49376.45</v>
      </c>
      <c r="H82" s="11"/>
      <c r="I82" s="11">
        <v>1393307.83</v>
      </c>
      <c r="J82" s="11">
        <v>120807.57846</v>
      </c>
      <c r="K82" s="11">
        <v>78390.539999999994</v>
      </c>
      <c r="L82" s="12">
        <f t="shared" si="58"/>
        <v>1791199.9000000001</v>
      </c>
      <c r="M82" s="11">
        <v>65963.78</v>
      </c>
      <c r="N82" s="11">
        <v>0.01</v>
      </c>
      <c r="O82" s="13"/>
      <c r="P82" s="11">
        <v>398805.17</v>
      </c>
      <c r="Q82" s="11">
        <v>52058.5</v>
      </c>
      <c r="R82" s="11"/>
      <c r="S82" s="11">
        <v>1499989.86</v>
      </c>
      <c r="T82" s="11">
        <v>105945.24840000001</v>
      </c>
      <c r="U82" s="11">
        <v>81171.23000000001</v>
      </c>
      <c r="V82" s="12">
        <f t="shared" si="59"/>
        <v>1993871.55</v>
      </c>
      <c r="W82" s="11">
        <v>1069319</v>
      </c>
      <c r="X82" s="11">
        <v>48682</v>
      </c>
      <c r="Y82" s="11">
        <v>112288.03</v>
      </c>
      <c r="Z82" s="51">
        <f t="shared" si="75"/>
        <v>1230289.03</v>
      </c>
      <c r="AA82" s="11">
        <v>1139943</v>
      </c>
      <c r="AB82" s="11">
        <v>58424</v>
      </c>
      <c r="AC82" s="11">
        <v>238260.83000000002</v>
      </c>
      <c r="AD82" s="51">
        <f t="shared" si="76"/>
        <v>1436627.83</v>
      </c>
      <c r="AE82" s="2">
        <v>226</v>
      </c>
      <c r="AF82">
        <v>232</v>
      </c>
      <c r="AG82">
        <v>230</v>
      </c>
      <c r="AH82" s="2">
        <f t="shared" si="77"/>
        <v>228</v>
      </c>
      <c r="AI82" s="2">
        <f t="shared" si="78"/>
        <v>231.33333333333331</v>
      </c>
      <c r="AJ82" s="2">
        <v>27</v>
      </c>
      <c r="AK82" s="2">
        <v>16</v>
      </c>
      <c r="AL82" s="2">
        <v>16</v>
      </c>
      <c r="AM82" s="2">
        <f t="shared" si="79"/>
        <v>23.333333333333332</v>
      </c>
      <c r="AN82" s="2">
        <f t="shared" si="80"/>
        <v>16</v>
      </c>
      <c r="AO82" s="2">
        <v>28.56</v>
      </c>
      <c r="AP82" s="2">
        <v>31.38</v>
      </c>
      <c r="AQ82" s="2">
        <v>650696.79</v>
      </c>
      <c r="AR82" s="2">
        <v>739181.35</v>
      </c>
      <c r="AS82" s="2">
        <f t="shared" si="81"/>
        <v>1898.6250875350142</v>
      </c>
      <c r="AT82" s="2">
        <f t="shared" si="82"/>
        <v>1962.9842521776079</v>
      </c>
      <c r="AU82" s="2">
        <f>Alusharidus!AH82*2/3+Alusharidus!AL82*1/3</f>
        <v>34</v>
      </c>
      <c r="AV82" s="2">
        <f>Alusharidus!AL82*2/3+Alusharidus!AP82*1/3</f>
        <v>0</v>
      </c>
      <c r="AW82" s="18">
        <f t="shared" si="56"/>
        <v>0.12977099236641221</v>
      </c>
      <c r="AX82" s="18">
        <f t="shared" si="57"/>
        <v>0</v>
      </c>
      <c r="AY82" s="2">
        <f>L82*AW82</f>
        <v>232445.78854961833</v>
      </c>
      <c r="AZ82" s="40"/>
      <c r="BF82" s="2">
        <f t="shared" si="60"/>
        <v>569.7200699745548</v>
      </c>
      <c r="BG82" s="2">
        <f t="shared" si="61"/>
        <v>509.24993786549709</v>
      </c>
      <c r="BH82" s="2">
        <f t="shared" si="62"/>
        <v>28.651513157894737</v>
      </c>
      <c r="BI82" s="2">
        <f t="shared" si="83"/>
        <v>31.818618951162978</v>
      </c>
      <c r="BJ82" s="2">
        <f t="shared" si="63"/>
        <v>718.25344020172918</v>
      </c>
      <c r="BK82" s="2">
        <f t="shared" si="64"/>
        <v>540.34216858789637</v>
      </c>
      <c r="BL82" s="2">
        <f t="shared" si="65"/>
        <v>29.240356628242083</v>
      </c>
      <c r="BM82" s="2">
        <f t="shared" si="84"/>
        <v>148.67091498559074</v>
      </c>
      <c r="BN82" s="2">
        <f t="shared" si="66"/>
        <v>120.05302684589977</v>
      </c>
      <c r="BO82" s="2">
        <f t="shared" si="67"/>
        <v>431.87391447368424</v>
      </c>
      <c r="BP82" s="2">
        <f t="shared" si="85"/>
        <v>17.793128654970815</v>
      </c>
      <c r="BQ82" s="2">
        <f t="shared" si="68"/>
        <v>200.73621037463977</v>
      </c>
      <c r="BR82" s="2">
        <f t="shared" si="69"/>
        <v>496.47112031700294</v>
      </c>
      <c r="BS82" s="2">
        <f t="shared" si="86"/>
        <v>21.046109510086467</v>
      </c>
      <c r="BT82" s="18">
        <f t="shared" si="87"/>
        <v>0.89385992297628114</v>
      </c>
      <c r="BU82" s="18">
        <f t="shared" si="88"/>
        <v>0.75230014691768898</v>
      </c>
      <c r="BV82" s="18">
        <f t="shared" si="70"/>
        <v>0.7580458144874076</v>
      </c>
      <c r="BW82" s="18">
        <f t="shared" si="71"/>
        <v>0.69121996850800149</v>
      </c>
      <c r="BX82" s="34">
        <f t="shared" si="72"/>
        <v>9.7714285714285722</v>
      </c>
      <c r="BY82" s="34">
        <f t="shared" si="73"/>
        <v>14.458333333333332</v>
      </c>
      <c r="BZ82" s="34">
        <f t="shared" si="89"/>
        <v>7.9831932773109244</v>
      </c>
      <c r="CA82" s="34">
        <f t="shared" si="90"/>
        <v>7.3719991502018267</v>
      </c>
      <c r="CB82" s="29">
        <v>2.09</v>
      </c>
      <c r="CC82" s="2">
        <v>4853.7</v>
      </c>
      <c r="CD82" s="2">
        <v>5973.7</v>
      </c>
      <c r="CE82">
        <v>3092</v>
      </c>
      <c r="CF82" t="s">
        <v>234</v>
      </c>
      <c r="CG82" t="str">
        <f t="shared" si="74"/>
        <v>Tagamaaline</v>
      </c>
    </row>
    <row r="83" spans="1:90" ht="14.25" customHeight="1" x14ac:dyDescent="0.35">
      <c r="A83" s="1" t="s">
        <v>170</v>
      </c>
      <c r="B83" s="15" t="s">
        <v>2</v>
      </c>
      <c r="C83" s="12">
        <f t="shared" ref="C83:AN83" si="91">SUM(C4:C82)</f>
        <v>18686626.629999995</v>
      </c>
      <c r="D83" s="12">
        <f t="shared" si="91"/>
        <v>23360.550000000003</v>
      </c>
      <c r="E83" s="12">
        <f t="shared" si="91"/>
        <v>7380330.7499999991</v>
      </c>
      <c r="F83" s="12">
        <f t="shared" si="91"/>
        <v>134011009.65999998</v>
      </c>
      <c r="G83" s="12">
        <f t="shared" si="91"/>
        <v>20283759.589999996</v>
      </c>
      <c r="H83" s="12">
        <f t="shared" si="91"/>
        <v>16014601.210000003</v>
      </c>
      <c r="I83" s="12">
        <f t="shared" si="91"/>
        <v>609880900.36999977</v>
      </c>
      <c r="J83" s="12">
        <f t="shared" si="91"/>
        <v>34774946.498760007</v>
      </c>
      <c r="K83" s="12">
        <f t="shared" si="91"/>
        <v>42944389.359999999</v>
      </c>
      <c r="L83" s="12">
        <f t="shared" si="91"/>
        <v>785262526.97999966</v>
      </c>
      <c r="M83" s="12">
        <f t="shared" si="91"/>
        <v>22784719.109999996</v>
      </c>
      <c r="N83" s="12">
        <f t="shared" si="91"/>
        <v>34221.56</v>
      </c>
      <c r="O83" s="12">
        <f t="shared" si="91"/>
        <v>7463392.0699999994</v>
      </c>
      <c r="P83" s="12">
        <f t="shared" si="91"/>
        <v>150144794.44000003</v>
      </c>
      <c r="Q83" s="12">
        <f t="shared" si="91"/>
        <v>20839382.910000011</v>
      </c>
      <c r="R83" s="12">
        <f t="shared" si="91"/>
        <v>16565836.010000002</v>
      </c>
      <c r="S83" s="12">
        <f t="shared" si="91"/>
        <v>626789502.70000005</v>
      </c>
      <c r="T83" s="12">
        <f t="shared" si="91"/>
        <v>36061274.263380028</v>
      </c>
      <c r="U83" s="12">
        <f t="shared" si="91"/>
        <v>45911347.050000004</v>
      </c>
      <c r="V83" s="12">
        <f t="shared" si="91"/>
        <v>824825201.94999969</v>
      </c>
      <c r="W83" s="12">
        <f t="shared" si="91"/>
        <v>470403229</v>
      </c>
      <c r="X83" s="12">
        <f t="shared" si="91"/>
        <v>18122055.919999994</v>
      </c>
      <c r="Y83" s="12">
        <f t="shared" si="91"/>
        <v>30422072.190000005</v>
      </c>
      <c r="Z83" s="12">
        <f t="shared" si="91"/>
        <v>518947357.10999978</v>
      </c>
      <c r="AA83" s="12">
        <f t="shared" si="91"/>
        <v>472619710</v>
      </c>
      <c r="AB83" s="12">
        <f t="shared" si="91"/>
        <v>18845778.849999998</v>
      </c>
      <c r="AC83" s="12">
        <f t="shared" si="91"/>
        <v>45257566.580000006</v>
      </c>
      <c r="AD83" s="12">
        <f t="shared" si="91"/>
        <v>536723055.43000019</v>
      </c>
      <c r="AE83" s="17">
        <f t="shared" si="91"/>
        <v>145132</v>
      </c>
      <c r="AF83" s="17">
        <f t="shared" si="91"/>
        <v>141148</v>
      </c>
      <c r="AG83" s="17">
        <f t="shared" si="91"/>
        <v>139932</v>
      </c>
      <c r="AH83" s="17">
        <f t="shared" si="91"/>
        <v>143804</v>
      </c>
      <c r="AI83" s="17">
        <f t="shared" si="91"/>
        <v>140742.66666666666</v>
      </c>
      <c r="AJ83" s="17">
        <f t="shared" si="91"/>
        <v>8619</v>
      </c>
      <c r="AK83" s="17">
        <f t="shared" si="91"/>
        <v>8524</v>
      </c>
      <c r="AL83" s="17">
        <f t="shared" si="91"/>
        <v>8509</v>
      </c>
      <c r="AM83" s="17">
        <f t="shared" si="91"/>
        <v>8587.3333333333358</v>
      </c>
      <c r="AN83" s="17">
        <f t="shared" si="91"/>
        <v>8518.9999999999982</v>
      </c>
      <c r="AO83" s="17">
        <f t="shared" ref="AO83:AP83" si="92">SUM(AO4:AO82)</f>
        <v>11553.210000000006</v>
      </c>
      <c r="AP83" s="17">
        <f t="shared" si="92"/>
        <v>11538.539999999997</v>
      </c>
      <c r="AQ83" s="17">
        <v>323129523.74000013</v>
      </c>
      <c r="AR83" s="17">
        <v>324905797.07999998</v>
      </c>
      <c r="AS83" s="17">
        <f t="shared" si="81"/>
        <v>2330.734082706595</v>
      </c>
      <c r="AT83" s="17">
        <f t="shared" si="82"/>
        <v>2346.5259114238029</v>
      </c>
      <c r="AU83" s="17">
        <f>SUM(AU4:AU82)</f>
        <v>5259.6666666666661</v>
      </c>
      <c r="AV83" s="17">
        <f>SUM(AV4:AV82)</f>
        <v>4860</v>
      </c>
      <c r="AW83" s="19">
        <f t="shared" si="56"/>
        <v>3.5284699379012546E-2</v>
      </c>
      <c r="AX83" s="19">
        <f t="shared" si="57"/>
        <v>3.3378509551107126E-2</v>
      </c>
      <c r="AY83" s="17">
        <f>SUM(AY4:AY82)</f>
        <v>2956038.832241206</v>
      </c>
      <c r="AZ83" s="17">
        <f>SUM(AZ4:AZ82)</f>
        <v>1491009.924283071</v>
      </c>
      <c r="BF83" s="17">
        <f t="shared" si="60"/>
        <v>453.34070919895515</v>
      </c>
      <c r="BG83" s="17">
        <f t="shared" si="61"/>
        <v>353.42138163171154</v>
      </c>
      <c r="BH83" s="17">
        <f t="shared" si="62"/>
        <v>34.166290326880109</v>
      </c>
      <c r="BI83" s="17">
        <f t="shared" si="83"/>
        <v>65.753037240363511</v>
      </c>
      <c r="BJ83" s="17">
        <f t="shared" si="63"/>
        <v>487.49383746797747</v>
      </c>
      <c r="BK83" s="17">
        <f t="shared" si="64"/>
        <v>371.12028495267964</v>
      </c>
      <c r="BL83" s="17">
        <f t="shared" si="65"/>
        <v>36.992562703089327</v>
      </c>
      <c r="BM83" s="17">
        <f t="shared" si="84"/>
        <v>79.380989812208497</v>
      </c>
      <c r="BN83" s="17">
        <f t="shared" si="66"/>
        <v>152.61463000435705</v>
      </c>
      <c r="BO83" s="17">
        <f t="shared" si="67"/>
        <v>290.22448447771507</v>
      </c>
      <c r="BP83" s="17">
        <f t="shared" si="85"/>
        <v>10.501594716883062</v>
      </c>
      <c r="BQ83" s="17">
        <f t="shared" si="68"/>
        <v>169.70164022501854</v>
      </c>
      <c r="BR83" s="17">
        <f t="shared" si="69"/>
        <v>306.63366509326715</v>
      </c>
      <c r="BS83" s="17">
        <f t="shared" si="86"/>
        <v>11.15853214969178</v>
      </c>
      <c r="BT83" s="19">
        <f t="shared" si="87"/>
        <v>0.77959330468291876</v>
      </c>
      <c r="BU83" s="19">
        <f t="shared" si="88"/>
        <v>0.76128200282543634</v>
      </c>
      <c r="BV83" s="19">
        <f t="shared" si="70"/>
        <v>0.64019065261210817</v>
      </c>
      <c r="BW83" s="19">
        <f t="shared" si="71"/>
        <v>0.62900008477216773</v>
      </c>
      <c r="BX83" s="34">
        <f t="shared" si="72"/>
        <v>16.746060088502439</v>
      </c>
      <c r="BY83" s="34">
        <f t="shared" si="73"/>
        <v>16.521031419963222</v>
      </c>
      <c r="BZ83" s="34">
        <f t="shared" si="89"/>
        <v>12.447103445709022</v>
      </c>
      <c r="CA83" s="34">
        <f t="shared" si="90"/>
        <v>12.197614833996909</v>
      </c>
      <c r="CC83" s="2">
        <v>2051.8000000000002</v>
      </c>
      <c r="CD83" s="2">
        <v>2356.6999999999998</v>
      </c>
    </row>
    <row r="84" spans="1:90" x14ac:dyDescent="0.35">
      <c r="B84" s="52"/>
      <c r="C84" s="18">
        <f t="shared" ref="C84:L84" si="93">C83/$L83</f>
        <v>2.3796661610564714E-2</v>
      </c>
      <c r="D84" s="18">
        <f t="shared" si="93"/>
        <v>2.97487135797007E-5</v>
      </c>
      <c r="E84" s="18">
        <f t="shared" si="93"/>
        <v>9.3985520719849312E-3</v>
      </c>
      <c r="F84" s="18">
        <f t="shared" si="93"/>
        <v>0.17065758909365758</v>
      </c>
      <c r="G84" s="18">
        <f t="shared" si="93"/>
        <v>2.5830545700440147E-2</v>
      </c>
      <c r="H84" s="18">
        <f t="shared" si="93"/>
        <v>2.0393945540212805E-2</v>
      </c>
      <c r="I84" s="18">
        <f t="shared" si="93"/>
        <v>0.77665860704637091</v>
      </c>
      <c r="J84" s="18">
        <f t="shared" si="93"/>
        <v>4.4284484874757959E-2</v>
      </c>
      <c r="K84" s="18">
        <f t="shared" si="93"/>
        <v>5.4687939236267386E-2</v>
      </c>
      <c r="L84" s="18">
        <f t="shared" si="93"/>
        <v>1</v>
      </c>
      <c r="M84" s="18">
        <f t="shared" ref="M84:V84" si="94">M83/$V83</f>
        <v>2.7623694154996478E-2</v>
      </c>
      <c r="N84" s="18">
        <f t="shared" si="94"/>
        <v>4.1489469428304986E-5</v>
      </c>
      <c r="O84" s="18">
        <f t="shared" si="94"/>
        <v>9.0484529962900247E-3</v>
      </c>
      <c r="P84" s="18">
        <f t="shared" si="94"/>
        <v>0.18203225857434663</v>
      </c>
      <c r="Q84" s="18">
        <f t="shared" si="94"/>
        <v>2.5265211175328855E-2</v>
      </c>
      <c r="R84" s="18">
        <f t="shared" si="94"/>
        <v>2.0084056562331143E-2</v>
      </c>
      <c r="S84" s="18">
        <f t="shared" si="94"/>
        <v>0.7599058578935074</v>
      </c>
      <c r="T84" s="18">
        <f t="shared" si="94"/>
        <v>4.3719898686565638E-2</v>
      </c>
      <c r="U84" s="18">
        <f t="shared" si="94"/>
        <v>5.5661911083050436E-2</v>
      </c>
      <c r="V84" s="18">
        <f t="shared" si="94"/>
        <v>1</v>
      </c>
      <c r="W84" s="18">
        <f>W83/$L83</f>
        <v>0.59903944583870483</v>
      </c>
      <c r="X84" s="18">
        <f t="shared" ref="X84:Z84" si="95">X83/$L83</f>
        <v>2.3077703694450655E-2</v>
      </c>
      <c r="Y84" s="18">
        <f t="shared" si="95"/>
        <v>3.8741275872412592E-2</v>
      </c>
      <c r="Z84" s="18">
        <f t="shared" si="95"/>
        <v>0.66085842540556783</v>
      </c>
      <c r="AA84" s="18">
        <f>AA83/$V83</f>
        <v>0.57299377963071729</v>
      </c>
      <c r="AB84" s="18">
        <f t="shared" ref="AB84:AD84" si="96">AB83/$V83</f>
        <v>2.2848209299917117E-2</v>
      </c>
      <c r="AC84" s="18">
        <f t="shared" si="96"/>
        <v>5.4869281967870193E-2</v>
      </c>
      <c r="AD84" s="18">
        <f t="shared" si="96"/>
        <v>0.65071127089850478</v>
      </c>
      <c r="AJ84" s="2"/>
      <c r="AK84" s="2"/>
      <c r="AL84" s="2"/>
      <c r="AM84" s="2"/>
      <c r="AN84" s="2"/>
      <c r="AO84" s="2"/>
      <c r="AP84" s="2"/>
      <c r="AQ84" s="2"/>
      <c r="AR84" s="2"/>
      <c r="AS84" s="2"/>
      <c r="AT84" s="2"/>
      <c r="BK84" s="18">
        <f>BK83/$BJ83</f>
        <v>0.76128200282543634</v>
      </c>
      <c r="BL84" s="18">
        <f t="shared" ref="BL84:BM84" si="97">BL83/$BJ83</f>
        <v>7.5883139149465248E-2</v>
      </c>
      <c r="BM84" s="18">
        <f t="shared" si="97"/>
        <v>0.16283485802509839</v>
      </c>
      <c r="BN84" s="18">
        <f>BN83/$BF83</f>
        <v>0.33664444182395253</v>
      </c>
      <c r="BO84" s="18">
        <f t="shared" ref="BO84:BP84" si="98">BO83/$BF83</f>
        <v>0.64019065261210817</v>
      </c>
      <c r="BP84" s="18">
        <f t="shared" si="98"/>
        <v>2.3164905563939294E-2</v>
      </c>
      <c r="BQ84" s="18">
        <f>BQ83/$BJ83</f>
        <v>0.34811032916116791</v>
      </c>
      <c r="BR84" s="18">
        <f t="shared" ref="BR84:BS84" si="99">BR83/$BJ83</f>
        <v>0.62900008477216762</v>
      </c>
      <c r="BS84" s="18">
        <f t="shared" si="99"/>
        <v>2.2889586066664407E-2</v>
      </c>
      <c r="BT84" s="18"/>
      <c r="BU84" s="18"/>
      <c r="BV84" s="28"/>
    </row>
    <row r="85" spans="1:90" x14ac:dyDescent="0.35">
      <c r="B85" s="52"/>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J85" s="2"/>
      <c r="AK85" s="2"/>
      <c r="AL85" s="2"/>
      <c r="AM85" s="2"/>
      <c r="AN85" s="2"/>
      <c r="AO85" s="2"/>
      <c r="AP85" s="2"/>
      <c r="AQ85" s="2"/>
      <c r="AR85" s="2" t="s">
        <v>296</v>
      </c>
      <c r="AS85" s="2">
        <f>MIN(AS4:AS82)</f>
        <v>1889.496399841988</v>
      </c>
      <c r="AT85" s="2">
        <f>MIN(AT4:AT82)</f>
        <v>1873.6092365967368</v>
      </c>
      <c r="BN85" s="18"/>
      <c r="BO85" s="18"/>
      <c r="BP85" s="18"/>
      <c r="BQ85" s="18"/>
      <c r="BR85" s="18"/>
      <c r="BS85" s="18"/>
      <c r="BT85" s="18"/>
      <c r="BU85" s="18"/>
      <c r="BV85" s="28"/>
      <c r="BW85" s="28" t="s">
        <v>242</v>
      </c>
      <c r="BX85" s="29">
        <f>CORREL($BJ4:$BJ82,BX4:BX82)</f>
        <v>-0.75234286179388699</v>
      </c>
      <c r="BY85" s="30">
        <f>CORREL($BJ4:$BJ82,BY4:BY82)</f>
        <v>-0.75058452746705817</v>
      </c>
      <c r="BZ85" s="29">
        <f t="shared" ref="BZ85:CA85" si="100">CORREL($BJ4:$BJ82,BZ4:BZ82)</f>
        <v>-0.72274617902839355</v>
      </c>
      <c r="CA85" s="30">
        <f t="shared" si="100"/>
        <v>-0.71347896856350546</v>
      </c>
      <c r="CB85" s="30">
        <f>CORREL($BJ4:$BJ82,CB4:CB82)</f>
        <v>0.45530589065934074</v>
      </c>
      <c r="CC85" s="29">
        <f>CORREL($BJ4:$BJ82,CC4:CC82)</f>
        <v>2.382208211211705E-2</v>
      </c>
      <c r="CD85" s="29">
        <f>CORREL($BJ4:$BJ82,CD4:CD82)</f>
        <v>7.8332613686890734E-2</v>
      </c>
      <c r="CE85" s="29">
        <f>CORREL($BJ4:$BJ82,CE4:CE82)</f>
        <v>-0.15313192509518447</v>
      </c>
    </row>
    <row r="86" spans="1:90" x14ac:dyDescent="0.35">
      <c r="B86" s="52"/>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J86" s="2"/>
      <c r="AK86" s="2"/>
      <c r="AL86" s="2"/>
      <c r="AM86" s="2"/>
      <c r="AN86" s="2"/>
      <c r="AO86" s="2"/>
      <c r="AP86" s="2"/>
      <c r="AQ86" s="2"/>
      <c r="AR86" s="2"/>
      <c r="AS86" s="2"/>
      <c r="AT86" s="2"/>
      <c r="BN86" s="18"/>
      <c r="BO86" s="18"/>
      <c r="BP86" s="18"/>
      <c r="BQ86" s="18"/>
      <c r="BR86" s="18"/>
      <c r="BS86" s="18"/>
      <c r="BT86" s="18"/>
      <c r="BU86" s="18"/>
      <c r="BV86" s="28"/>
      <c r="BW86" s="28" t="s">
        <v>263</v>
      </c>
      <c r="BX86" s="29">
        <f>BX85*BX85</f>
        <v>0.56601978169221578</v>
      </c>
      <c r="BY86" s="30">
        <f t="shared" ref="BY86:CE86" si="101">BY85*BY85</f>
        <v>0.563377132872947</v>
      </c>
      <c r="BZ86" s="29">
        <f t="shared" si="101"/>
        <v>0.52236203930014269</v>
      </c>
      <c r="CA86" s="30">
        <f t="shared" si="101"/>
        <v>0.50905223858244364</v>
      </c>
      <c r="CB86" s="30">
        <f t="shared" si="101"/>
        <v>0.20730345406909553</v>
      </c>
      <c r="CC86" s="29">
        <f t="shared" si="101"/>
        <v>5.6749159615644706E-4</v>
      </c>
      <c r="CD86" s="29">
        <f t="shared" si="101"/>
        <v>6.1359983670196613E-3</v>
      </c>
      <c r="CE86" s="29">
        <f t="shared" si="101"/>
        <v>2.3449386483357187E-2</v>
      </c>
    </row>
    <row r="87" spans="1:90" x14ac:dyDescent="0.35">
      <c r="B87" s="52"/>
      <c r="AJ87" s="2"/>
      <c r="AK87" s="2"/>
      <c r="AL87" s="2"/>
      <c r="AM87" s="2"/>
      <c r="AN87" s="2"/>
      <c r="AO87" s="2"/>
      <c r="AP87" s="2"/>
      <c r="AQ87" s="2"/>
      <c r="AR87" s="2" t="s">
        <v>297</v>
      </c>
      <c r="AS87" s="2">
        <f>MAX(AS4:AS82)</f>
        <v>3087.6498936453067</v>
      </c>
      <c r="AT87" s="2">
        <f>MAX(AT4:AT82)</f>
        <v>3119.2907029478451</v>
      </c>
      <c r="BN87" s="2"/>
      <c r="BO87" s="2"/>
      <c r="BP87" s="2"/>
      <c r="BQ87" s="2"/>
      <c r="BR87" s="2"/>
      <c r="BS87" s="2"/>
      <c r="BT87" s="18"/>
      <c r="BU87" s="18"/>
      <c r="BW87" s="28" t="s">
        <v>258</v>
      </c>
      <c r="BX87" s="29">
        <f>CORREL($BQ4:$BQ82,BX4:BX82)</f>
        <v>-0.6566467243962536</v>
      </c>
      <c r="BY87" s="30">
        <f>CORREL($BQ4:$BQ82,BY4:BY82)</f>
        <v>-0.66524113055819778</v>
      </c>
      <c r="BZ87" s="29">
        <f t="shared" ref="BZ87:CA87" si="102">CORREL($BQ4:$BQ82,BZ4:BZ82)</f>
        <v>-0.62360253834919621</v>
      </c>
      <c r="CA87" s="30">
        <f t="shared" si="102"/>
        <v>-0.615164839106638</v>
      </c>
      <c r="CB87" s="30">
        <f>CORREL($BQ4:$BQ82,CB4:CB82)</f>
        <v>0.41215861559106898</v>
      </c>
      <c r="CC87" s="29">
        <f>CORREL($BQ4:$BQ82,CC4:CC82)</f>
        <v>9.5925864829209756E-2</v>
      </c>
      <c r="CD87" s="29">
        <f>CORREL($BQ4:$BQ82,CD4:CD82)</f>
        <v>0.15285276364431921</v>
      </c>
      <c r="CE87" s="29">
        <f>CORREL($BQ4:$BQ82,CE4:CE82)</f>
        <v>-0.14786026564228186</v>
      </c>
    </row>
    <row r="88" spans="1:90" x14ac:dyDescent="0.35">
      <c r="B88" s="52"/>
      <c r="AJ88" s="2"/>
      <c r="AK88" s="2"/>
      <c r="AL88" s="2"/>
      <c r="AM88" s="2"/>
      <c r="AN88" s="2"/>
      <c r="AO88" s="2"/>
      <c r="AP88" s="2"/>
      <c r="AQ88" s="2"/>
      <c r="AR88" s="2"/>
      <c r="AS88" s="54">
        <f>AS87/AS85</f>
        <v>1.634112610060287</v>
      </c>
      <c r="AT88" s="54">
        <f>AT87/AT85</f>
        <v>1.6648565997751967</v>
      </c>
      <c r="BN88" s="2"/>
      <c r="BO88" s="2"/>
      <c r="BP88" s="2"/>
      <c r="BQ88" s="2"/>
      <c r="BR88" s="2"/>
      <c r="BS88" s="2"/>
      <c r="BT88" s="18"/>
      <c r="BU88" s="18"/>
      <c r="BW88" s="28" t="s">
        <v>260</v>
      </c>
      <c r="BX88" s="29">
        <f>CORREL($BR4:$BR82,BX4:BX82)</f>
        <v>-0.74910661146387036</v>
      </c>
      <c r="BY88" s="30">
        <f>CORREL($BR4:$BR82,BY4:BY82)</f>
        <v>-0.74382226749940406</v>
      </c>
      <c r="BZ88" s="29">
        <f t="shared" ref="BZ88:CA88" si="103">CORREL($BR4:$BR82,BZ4:BZ82)</f>
        <v>-0.72315238839620977</v>
      </c>
      <c r="CA88" s="30">
        <f t="shared" si="103"/>
        <v>-0.71398186664986163</v>
      </c>
      <c r="CB88" s="30">
        <f>CORREL($BR4:$BR82,CB4:CB82)</f>
        <v>0.44377283571856252</v>
      </c>
      <c r="CC88" s="29">
        <f>CORREL($BR4:$BR82,CC4:CC82)</f>
        <v>-2.617550412087237E-2</v>
      </c>
      <c r="CD88" s="29">
        <f>CORREL($BR4:$BR82,CD4:CD82)</f>
        <v>2.5588689057564656E-2</v>
      </c>
      <c r="CE88" s="29">
        <f>CORREL($BR4:$BR82,CE4:CE82)</f>
        <v>-0.14033814311784765</v>
      </c>
    </row>
    <row r="89" spans="1:90" x14ac:dyDescent="0.35">
      <c r="A89" s="1" t="s">
        <v>228</v>
      </c>
      <c r="B89" s="52"/>
      <c r="AJ89" s="2"/>
      <c r="AK89" s="2"/>
      <c r="AL89" s="2"/>
      <c r="AM89" s="2"/>
      <c r="AN89" s="2"/>
      <c r="AO89" s="2"/>
      <c r="AP89" s="2"/>
      <c r="AQ89" s="2"/>
      <c r="AR89" s="2"/>
      <c r="AS89" s="2"/>
      <c r="AT89" s="2"/>
      <c r="BN89" s="2"/>
      <c r="BO89" s="2"/>
      <c r="BP89" s="2"/>
      <c r="BQ89" s="2"/>
      <c r="BR89" s="2"/>
      <c r="BS89" s="2"/>
      <c r="BT89" s="18"/>
      <c r="BU89" s="18"/>
      <c r="BW89" s="28"/>
      <c r="BX89" s="29"/>
      <c r="BY89" s="29"/>
      <c r="BZ89" s="29"/>
      <c r="CA89" s="29"/>
      <c r="CB89" s="29">
        <f>CORREL(BY4:BY82,CB4:CB82)</f>
        <v>-0.64410114639408833</v>
      </c>
      <c r="CC89" s="29"/>
      <c r="CD89" s="29"/>
      <c r="CE89" s="29"/>
    </row>
    <row r="90" spans="1:90" x14ac:dyDescent="0.35">
      <c r="A90" t="s">
        <v>235</v>
      </c>
      <c r="B90" s="2">
        <f>COUNTIF($CB$4:$CB$82,"&lt;=1,25")</f>
        <v>20</v>
      </c>
      <c r="C90" s="2">
        <f t="shared" ref="C90:AR90" si="104">SUMIF($CB$4:$CB$82,"&lt;=1,25",C$4:C$82)</f>
        <v>11445464.020000003</v>
      </c>
      <c r="D90" s="2">
        <f t="shared" si="104"/>
        <v>17251.339999999997</v>
      </c>
      <c r="E90" s="2">
        <f t="shared" si="104"/>
        <v>6897300.2799999993</v>
      </c>
      <c r="F90" s="2">
        <f t="shared" si="104"/>
        <v>81271974.189999908</v>
      </c>
      <c r="G90" s="2">
        <f t="shared" si="104"/>
        <v>8498542.7299999986</v>
      </c>
      <c r="H90" s="2">
        <f t="shared" si="104"/>
        <v>14103452.970000001</v>
      </c>
      <c r="I90" s="2">
        <f t="shared" si="104"/>
        <v>381683778.90000004</v>
      </c>
      <c r="J90" s="2">
        <f t="shared" si="104"/>
        <v>20767006.320239998</v>
      </c>
      <c r="K90" s="2">
        <f t="shared" si="104"/>
        <v>24770838.620000001</v>
      </c>
      <c r="L90" s="2">
        <f t="shared" si="104"/>
        <v>490690764.33999997</v>
      </c>
      <c r="M90" s="2">
        <f t="shared" si="104"/>
        <v>14054370.490000004</v>
      </c>
      <c r="N90" s="2">
        <f t="shared" si="104"/>
        <v>27003.039999999997</v>
      </c>
      <c r="O90" s="2">
        <f t="shared" si="104"/>
        <v>6934591.5399999991</v>
      </c>
      <c r="P90" s="2">
        <f t="shared" si="104"/>
        <v>91123161.5</v>
      </c>
      <c r="Q90" s="2">
        <f t="shared" si="104"/>
        <v>8693836.2300000004</v>
      </c>
      <c r="R90" s="2">
        <f t="shared" si="104"/>
        <v>14568349.480000002</v>
      </c>
      <c r="S90" s="2">
        <f t="shared" si="104"/>
        <v>390973960.59000003</v>
      </c>
      <c r="T90" s="2">
        <f t="shared" si="104"/>
        <v>21726344.225339998</v>
      </c>
      <c r="U90" s="2">
        <f t="shared" si="104"/>
        <v>25876616.289999992</v>
      </c>
      <c r="V90" s="2">
        <f t="shared" si="104"/>
        <v>513361275.67999995</v>
      </c>
      <c r="W90" s="2">
        <f t="shared" si="104"/>
        <v>297440268</v>
      </c>
      <c r="X90" s="2">
        <f t="shared" si="104"/>
        <v>12645644.32</v>
      </c>
      <c r="Y90" s="2">
        <f t="shared" si="104"/>
        <v>22696216.530000001</v>
      </c>
      <c r="Z90" s="2">
        <f t="shared" si="104"/>
        <v>332782128.85000002</v>
      </c>
      <c r="AA90" s="2">
        <f t="shared" si="104"/>
        <v>296733885</v>
      </c>
      <c r="AB90" s="2">
        <f t="shared" si="104"/>
        <v>13002182.279999999</v>
      </c>
      <c r="AC90" s="2">
        <f t="shared" si="104"/>
        <v>31964567.400000006</v>
      </c>
      <c r="AD90" s="2">
        <f t="shared" si="104"/>
        <v>341700634.68000001</v>
      </c>
      <c r="AE90" s="2">
        <f t="shared" si="104"/>
        <v>100322</v>
      </c>
      <c r="AF90" s="2">
        <f t="shared" si="104"/>
        <v>96543</v>
      </c>
      <c r="AG90" s="2">
        <f t="shared" si="104"/>
        <v>95099</v>
      </c>
      <c r="AH90" s="2">
        <f t="shared" si="104"/>
        <v>99062.333333333328</v>
      </c>
      <c r="AI90" s="2">
        <f t="shared" si="104"/>
        <v>96061.666666666686</v>
      </c>
      <c r="AJ90" s="2">
        <f t="shared" si="104"/>
        <v>5208</v>
      </c>
      <c r="AK90" s="2">
        <f t="shared" si="104"/>
        <v>5080</v>
      </c>
      <c r="AL90" s="2">
        <f t="shared" si="104"/>
        <v>5065</v>
      </c>
      <c r="AM90" s="2">
        <f t="shared" si="104"/>
        <v>5165.333333333333</v>
      </c>
      <c r="AN90" s="2">
        <f t="shared" si="104"/>
        <v>5075.0000000000009</v>
      </c>
      <c r="AO90" s="2">
        <f t="shared" si="104"/>
        <v>7066.0700000000015</v>
      </c>
      <c r="AP90" s="2">
        <f t="shared" si="104"/>
        <v>7019.6400000000012</v>
      </c>
      <c r="AQ90" s="2">
        <f t="shared" si="104"/>
        <v>208452898.58999991</v>
      </c>
      <c r="AR90" s="2">
        <f t="shared" si="104"/>
        <v>208051687.69</v>
      </c>
      <c r="AS90" s="2">
        <f t="shared" ref="AS90" si="105">AQ90/AO90/12</f>
        <v>2458.3785445799417</v>
      </c>
      <c r="AT90" s="2">
        <f t="shared" ref="AT90" si="106">AR90/AP90/12</f>
        <v>2469.8760393457969</v>
      </c>
      <c r="AU90" s="2">
        <f>SUMIF($CB$4:$CB$82,"&lt;=1,25",AU$4:AU$82)</f>
        <v>1182.9999999999998</v>
      </c>
      <c r="AV90" s="2">
        <f>SUMIF($CB$4:$CB$82,"&lt;=1,25",AV$4:AV$82)</f>
        <v>1131.3333333333335</v>
      </c>
      <c r="AW90" s="18">
        <f t="shared" ref="AW90:AX92" si="107">AU90/(AH90+AU90)</f>
        <v>1.1801048095339432E-2</v>
      </c>
      <c r="AX90" s="18">
        <f t="shared" si="107"/>
        <v>1.1640070101070378E-2</v>
      </c>
      <c r="AY90" s="2">
        <f>SUMIF($CB$4:$CB$82,"&lt;=1,25",AY$4:AY$82)</f>
        <v>424423.21112072392</v>
      </c>
      <c r="AZ90" s="2">
        <f>SUMIF($CB$4:$CB$82,"&lt;=1,25",AZ$4:AZ$82)</f>
        <v>263489.92021189752</v>
      </c>
      <c r="BF90" s="2">
        <f>(L90-AY90)/AH90/12</f>
        <v>412.42243194426345</v>
      </c>
      <c r="BG90" s="2">
        <f>I90/AH90/12</f>
        <v>321.08048038776934</v>
      </c>
      <c r="BH90" s="2">
        <f>(H90+K90)/AH90/12</f>
        <v>32.701877597270411</v>
      </c>
      <c r="BI90" s="2">
        <f t="shared" ref="BI90:BI92" si="108">BF90-BG90-BH90</f>
        <v>58.640073959223699</v>
      </c>
      <c r="BJ90" s="2">
        <f>(V90-AZ90)/AI90/12</f>
        <v>445.11146117926677</v>
      </c>
      <c r="BK90" s="2">
        <f>S90/AI90/12</f>
        <v>339.16924943178856</v>
      </c>
      <c r="BL90" s="2">
        <f>(R90+U90)/AI90/12</f>
        <v>35.085939387893184</v>
      </c>
      <c r="BM90" s="2">
        <f t="shared" ref="BM90:BM92" si="109">BJ90-BK90-BL90</f>
        <v>70.856272359585034</v>
      </c>
      <c r="BN90" s="2">
        <f>(L90-AY90-Z90)/AH90/12</f>
        <v>132.47905550956068</v>
      </c>
      <c r="BO90" s="2">
        <f>(W90+Y90)/AH90/12</f>
        <v>269.30559254778979</v>
      </c>
      <c r="BP90" s="2">
        <f t="shared" ref="BP90" si="110">BF90-BN90-BO90</f>
        <v>10.637783886912985</v>
      </c>
      <c r="BQ90" s="2">
        <f>(V90-AZ90-AD90)/AI90/12</f>
        <v>148.68673862257577</v>
      </c>
      <c r="BR90" s="2">
        <f>(AA90+AC90)/AI90/12</f>
        <v>285.14535142356465</v>
      </c>
      <c r="BS90" s="2">
        <f t="shared" ref="BS90" si="111">BJ90-BQ90-BR90</f>
        <v>11.279371133126347</v>
      </c>
      <c r="BT90" s="18">
        <f t="shared" si="87"/>
        <v>0.77852331861318724</v>
      </c>
      <c r="BU90" s="18">
        <f t="shared" si="88"/>
        <v>0.76198723019443793</v>
      </c>
      <c r="BV90" s="18">
        <f>(W90+Y90)/(L90-AY90)</f>
        <v>0.6529848322706775</v>
      </c>
      <c r="BW90" s="18">
        <f>(AA90+AC90)/(V90-AZ90)</f>
        <v>0.64061561270093559</v>
      </c>
      <c r="BX90" s="34">
        <f t="shared" ref="BX90:BY92" si="112">AH90/AM90</f>
        <v>19.178304078471864</v>
      </c>
      <c r="BY90" s="34">
        <f t="shared" si="112"/>
        <v>18.928407224958949</v>
      </c>
      <c r="BZ90" s="34">
        <f t="shared" ref="BZ90:BZ92" si="113">AH90/AO90</f>
        <v>14.019438433716806</v>
      </c>
      <c r="CA90" s="34">
        <f t="shared" ref="CA90:CA92" si="114">AI90/AP90</f>
        <v>13.6846998801458</v>
      </c>
      <c r="CE90" cm="1">
        <f t="array" ref="CE90:CL94">LINEST(BJ4:BJ82,BY4:CE82,TRUE,TRUE)</f>
        <v>4.7968557157121932E-4</v>
      </c>
      <c r="CF90">
        <v>1.1904144609307414E-2</v>
      </c>
      <c r="CG90">
        <v>-6.1952095209625531E-2</v>
      </c>
      <c r="CH90">
        <v>98.062064300575756</v>
      </c>
      <c r="CI90">
        <v>6.8317103576784159</v>
      </c>
      <c r="CJ90">
        <v>-41.674081161426294</v>
      </c>
      <c r="CK90">
        <v>-34.082210248686245</v>
      </c>
      <c r="CL90">
        <v>1429.40696037669</v>
      </c>
    </row>
    <row r="91" spans="1:90" x14ac:dyDescent="0.35">
      <c r="A91" t="s">
        <v>237</v>
      </c>
      <c r="B91" s="2">
        <f>79-B90-B92</f>
        <v>29</v>
      </c>
      <c r="C91" s="2">
        <f>C83-C90-C92</f>
        <v>4686208.4699999914</v>
      </c>
      <c r="D91" s="2">
        <f t="shared" ref="D91:AZ91" si="115">D83-D90-D92</f>
        <v>4647.5700000000061</v>
      </c>
      <c r="E91" s="2">
        <f t="shared" si="115"/>
        <v>335155.76999999979</v>
      </c>
      <c r="F91" s="2">
        <f t="shared" si="115"/>
        <v>33966162.920000076</v>
      </c>
      <c r="G91" s="2">
        <f t="shared" si="115"/>
        <v>7487721.3399999971</v>
      </c>
      <c r="H91" s="2">
        <f t="shared" si="115"/>
        <v>1810720.860000002</v>
      </c>
      <c r="I91" s="2">
        <f t="shared" si="115"/>
        <v>143112593.96999973</v>
      </c>
      <c r="J91" s="2">
        <f t="shared" si="115"/>
        <v>8205092.5554600088</v>
      </c>
      <c r="K91" s="2">
        <f t="shared" si="115"/>
        <v>12030768.529999997</v>
      </c>
      <c r="L91" s="2">
        <f t="shared" si="115"/>
        <v>186312660.11999971</v>
      </c>
      <c r="M91" s="2">
        <f t="shared" si="115"/>
        <v>5604244.609999992</v>
      </c>
      <c r="N91" s="2">
        <f t="shared" si="115"/>
        <v>1521.9000000000005</v>
      </c>
      <c r="O91" s="2">
        <f t="shared" si="115"/>
        <v>394764.09000000026</v>
      </c>
      <c r="P91" s="2">
        <f t="shared" si="115"/>
        <v>37324797.830000021</v>
      </c>
      <c r="Q91" s="2">
        <f t="shared" si="115"/>
        <v>7620026.1700000102</v>
      </c>
      <c r="R91" s="2">
        <f t="shared" si="115"/>
        <v>1895719.7599999993</v>
      </c>
      <c r="S91" s="2">
        <f t="shared" si="115"/>
        <v>148444406.19000003</v>
      </c>
      <c r="T91" s="2">
        <f t="shared" si="115"/>
        <v>8461788.7251600288</v>
      </c>
      <c r="U91" s="2">
        <f t="shared" si="115"/>
        <v>12984681.220000014</v>
      </c>
      <c r="V91" s="2">
        <f t="shared" si="115"/>
        <v>196739625.57999972</v>
      </c>
      <c r="W91" s="2">
        <f t="shared" ref="W91" si="116">W83-W90-W92</f>
        <v>108811246</v>
      </c>
      <c r="X91" s="2">
        <f t="shared" ref="X91" si="117">X83-X90-X92</f>
        <v>3188974.5499999942</v>
      </c>
      <c r="Y91" s="2">
        <f t="shared" ref="Y91" si="118">Y83-Y90-Y92</f>
        <v>4322302.4400000041</v>
      </c>
      <c r="Z91" s="2">
        <f t="shared" ref="Z91" si="119">Z83-Z90-Z92</f>
        <v>116322522.98999974</v>
      </c>
      <c r="AA91" s="2">
        <f t="shared" ref="AA91" si="120">AA83-AA90-AA92</f>
        <v>110983362</v>
      </c>
      <c r="AB91" s="2">
        <f t="shared" ref="AB91" si="121">AB83-AB90-AB92</f>
        <v>3329101.8399999985</v>
      </c>
      <c r="AC91" s="2">
        <f t="shared" ref="AC91" si="122">AC83-AC90-AC92</f>
        <v>7887011.2899999982</v>
      </c>
      <c r="AD91" s="2">
        <f t="shared" ref="AD91" si="123">AD83-AD90-AD92</f>
        <v>122199475.13000017</v>
      </c>
      <c r="AE91" s="2">
        <f t="shared" si="115"/>
        <v>29783</v>
      </c>
      <c r="AF91" s="2">
        <f t="shared" si="115"/>
        <v>29693</v>
      </c>
      <c r="AG91" s="2">
        <f t="shared" si="115"/>
        <v>29986</v>
      </c>
      <c r="AH91" s="2">
        <f t="shared" si="115"/>
        <v>29753.000000000007</v>
      </c>
      <c r="AI91" s="2">
        <f t="shared" si="115"/>
        <v>29790.666666666639</v>
      </c>
      <c r="AJ91" s="2">
        <f t="shared" ref="AJ91:AN91" si="124">AJ83-AJ90-AJ92</f>
        <v>2105</v>
      </c>
      <c r="AK91" s="2">
        <f t="shared" si="124"/>
        <v>2142</v>
      </c>
      <c r="AL91" s="2">
        <f t="shared" si="124"/>
        <v>2164</v>
      </c>
      <c r="AM91" s="2">
        <f t="shared" si="124"/>
        <v>2117.3333333333362</v>
      </c>
      <c r="AN91" s="2">
        <f t="shared" si="124"/>
        <v>2149.3333333333303</v>
      </c>
      <c r="AO91" s="2">
        <f t="shared" ref="AO91:AR91" si="125">AO83-AO90-AO92</f>
        <v>2807.9400000000051</v>
      </c>
      <c r="AP91" s="2">
        <f t="shared" si="125"/>
        <v>2856.5299999999961</v>
      </c>
      <c r="AQ91" s="2">
        <f t="shared" si="125"/>
        <v>72368436.080000222</v>
      </c>
      <c r="AR91" s="2">
        <f t="shared" si="125"/>
        <v>74009173.199999973</v>
      </c>
      <c r="AS91" s="2">
        <f t="shared" ref="AS91:AS92" si="126">AQ91/AO91/12</f>
        <v>2147.7321476479819</v>
      </c>
      <c r="AT91" s="2">
        <f t="shared" ref="AT91:AT92" si="127">AR91/AP91/12</f>
        <v>2159.0640042289092</v>
      </c>
      <c r="AU91" s="2">
        <f t="shared" si="115"/>
        <v>2372.9999999999995</v>
      </c>
      <c r="AV91" s="2">
        <f t="shared" si="115"/>
        <v>2315</v>
      </c>
      <c r="AW91" s="18">
        <f t="shared" si="107"/>
        <v>7.3865404967938711E-2</v>
      </c>
      <c r="AX91" s="18">
        <f t="shared" si="107"/>
        <v>7.2105651131160714E-2</v>
      </c>
      <c r="AY91" s="2">
        <f t="shared" si="115"/>
        <v>779484.26836165227</v>
      </c>
      <c r="AZ91" s="2">
        <f t="shared" si="115"/>
        <v>578956.85319541919</v>
      </c>
      <c r="BF91" s="2">
        <f>(L91-AY91)/AH91/12</f>
        <v>519.64837117724267</v>
      </c>
      <c r="BG91" s="2">
        <f>I91/AH91/12</f>
        <v>400.83519300574648</v>
      </c>
      <c r="BH91" s="2">
        <f>(H91+K91)/AH91/12</f>
        <v>38.767769608666903</v>
      </c>
      <c r="BI91" s="2">
        <f t="shared" si="108"/>
        <v>80.045408562829294</v>
      </c>
      <c r="BJ91" s="2">
        <f>(V91-AZ91)/AI91/12</f>
        <v>548.71958982344711</v>
      </c>
      <c r="BK91" s="2">
        <f>S91/AI91/12</f>
        <v>415.24304645190932</v>
      </c>
      <c r="BL91" s="2">
        <f>(R91+U91)/AI91/12</f>
        <v>41.624896444076519</v>
      </c>
      <c r="BM91" s="2">
        <f t="shared" si="109"/>
        <v>91.851646927461275</v>
      </c>
      <c r="BN91" s="2">
        <f>(L91-AY91-Z91)/AH91/12</f>
        <v>193.84782728251014</v>
      </c>
      <c r="BO91" s="2">
        <f>(W91+Y91)/AH91/12</f>
        <v>316.86874275983365</v>
      </c>
      <c r="BP91" s="2">
        <f t="shared" ref="BP91:BP92" si="128">BF91-BN91-BO91</f>
        <v>8.9318011348988762</v>
      </c>
      <c r="BQ91" s="2">
        <f>(V91-AZ91-AD91)/AI91/12</f>
        <v>206.89140221994634</v>
      </c>
      <c r="BR91" s="2">
        <f>(AA91+AC91)/AI91/12</f>
        <v>332.51570203755119</v>
      </c>
      <c r="BS91" s="2">
        <f t="shared" ref="BS91:BS92" si="129">BJ91-BQ91-BR91</f>
        <v>9.3124855659495438</v>
      </c>
      <c r="BT91" s="18">
        <f t="shared" si="87"/>
        <v>0.77135850940448503</v>
      </c>
      <c r="BU91" s="18">
        <f t="shared" si="88"/>
        <v>0.75674908305263089</v>
      </c>
      <c r="BV91" s="18">
        <f>(W91+Y91)/(L91-AY91)</f>
        <v>0.60977530256080692</v>
      </c>
      <c r="BW91" s="18">
        <f>(AA91+AC91)/(V91-AZ91)</f>
        <v>0.60598474740903552</v>
      </c>
      <c r="BX91" s="34">
        <f t="shared" si="112"/>
        <v>14.052109571788398</v>
      </c>
      <c r="BY91" s="34">
        <f t="shared" si="112"/>
        <v>13.860421836228294</v>
      </c>
      <c r="BZ91" s="34">
        <f t="shared" si="113"/>
        <v>10.596024131569747</v>
      </c>
      <c r="CA91" s="34">
        <f t="shared" si="114"/>
        <v>10.428970347472871</v>
      </c>
      <c r="CE91">
        <v>4.1153120132492388E-4</v>
      </c>
      <c r="CF91">
        <v>1.8578177884263854E-2</v>
      </c>
      <c r="CG91">
        <v>2.9230207714863905E-2</v>
      </c>
      <c r="CH91">
        <v>113.54522733442862</v>
      </c>
      <c r="CI91">
        <v>33.289146791153641</v>
      </c>
      <c r="CJ91">
        <v>33.340362428470605</v>
      </c>
      <c r="CK91">
        <v>10.79323394669164</v>
      </c>
      <c r="CL91">
        <v>236.01460383779815</v>
      </c>
    </row>
    <row r="92" spans="1:90" x14ac:dyDescent="0.35">
      <c r="A92" t="s">
        <v>236</v>
      </c>
      <c r="B92" s="2">
        <f>COUNTIF($CB$4:$CB$82,"&gt;1,75")</f>
        <v>30</v>
      </c>
      <c r="C92" s="2">
        <f t="shared" ref="C92:AR92" si="130">SUMIF($CB$4:$CB$82,"&gt;1,75",C$4:C$82)</f>
        <v>2554954.14</v>
      </c>
      <c r="D92" s="2">
        <f t="shared" si="130"/>
        <v>1461.6400000000003</v>
      </c>
      <c r="E92" s="2">
        <f t="shared" si="130"/>
        <v>147874.69999999998</v>
      </c>
      <c r="F92" s="2">
        <f t="shared" si="130"/>
        <v>18772872.550000001</v>
      </c>
      <c r="G92" s="2">
        <f t="shared" si="130"/>
        <v>4297495.5200000005</v>
      </c>
      <c r="H92" s="2">
        <f t="shared" si="130"/>
        <v>100427.38000000002</v>
      </c>
      <c r="I92" s="2">
        <f t="shared" si="130"/>
        <v>85084527.500000015</v>
      </c>
      <c r="J92" s="2">
        <f t="shared" si="130"/>
        <v>5802847.6230600001</v>
      </c>
      <c r="K92" s="2">
        <f t="shared" si="130"/>
        <v>6142782.21</v>
      </c>
      <c r="L92" s="2">
        <f t="shared" si="130"/>
        <v>108259102.52</v>
      </c>
      <c r="M92" s="2">
        <f t="shared" si="130"/>
        <v>3126104.01</v>
      </c>
      <c r="N92" s="2">
        <f t="shared" si="130"/>
        <v>5696.62</v>
      </c>
      <c r="O92" s="2">
        <f t="shared" si="130"/>
        <v>134036.44</v>
      </c>
      <c r="P92" s="2">
        <f t="shared" si="130"/>
        <v>21696835.110000007</v>
      </c>
      <c r="Q92" s="2">
        <f t="shared" si="130"/>
        <v>4525520.5100000007</v>
      </c>
      <c r="R92" s="2">
        <f t="shared" si="130"/>
        <v>101766.77</v>
      </c>
      <c r="S92" s="2">
        <f t="shared" si="130"/>
        <v>87371135.919999987</v>
      </c>
      <c r="T92" s="2">
        <f t="shared" si="130"/>
        <v>5873141.312880002</v>
      </c>
      <c r="U92" s="2">
        <f t="shared" si="130"/>
        <v>7050049.5399999991</v>
      </c>
      <c r="V92" s="2">
        <f t="shared" si="130"/>
        <v>114724300.69000003</v>
      </c>
      <c r="W92" s="2">
        <f t="shared" si="130"/>
        <v>64151715</v>
      </c>
      <c r="X92" s="2">
        <f t="shared" si="130"/>
        <v>2287437.0499999998</v>
      </c>
      <c r="Y92" s="2">
        <f t="shared" si="130"/>
        <v>3403553.2199999997</v>
      </c>
      <c r="Z92" s="2">
        <f t="shared" si="130"/>
        <v>69842705.270000011</v>
      </c>
      <c r="AA92" s="2">
        <f t="shared" si="130"/>
        <v>64902463</v>
      </c>
      <c r="AB92" s="2">
        <f t="shared" si="130"/>
        <v>2514494.73</v>
      </c>
      <c r="AC92" s="2">
        <f t="shared" si="130"/>
        <v>5405987.8900000015</v>
      </c>
      <c r="AD92" s="2">
        <f t="shared" si="130"/>
        <v>72822945.620000005</v>
      </c>
      <c r="AE92" s="2">
        <f t="shared" si="130"/>
        <v>15027</v>
      </c>
      <c r="AF92" s="2">
        <f t="shared" si="130"/>
        <v>14912</v>
      </c>
      <c r="AG92" s="2">
        <f t="shared" si="130"/>
        <v>14847</v>
      </c>
      <c r="AH92" s="2">
        <f t="shared" si="130"/>
        <v>14988.666666666666</v>
      </c>
      <c r="AI92" s="2">
        <f t="shared" si="130"/>
        <v>14890.333333333332</v>
      </c>
      <c r="AJ92" s="2">
        <f t="shared" si="130"/>
        <v>1306</v>
      </c>
      <c r="AK92" s="2">
        <f t="shared" si="130"/>
        <v>1302</v>
      </c>
      <c r="AL92" s="2">
        <f t="shared" si="130"/>
        <v>1280</v>
      </c>
      <c r="AM92" s="2">
        <f t="shared" si="130"/>
        <v>1304.6666666666665</v>
      </c>
      <c r="AN92" s="2">
        <f t="shared" si="130"/>
        <v>1294.6666666666667</v>
      </c>
      <c r="AO92" s="2">
        <f t="shared" si="130"/>
        <v>1679.2</v>
      </c>
      <c r="AP92" s="2">
        <f t="shared" si="130"/>
        <v>1662.3700000000001</v>
      </c>
      <c r="AQ92" s="2">
        <f t="shared" si="130"/>
        <v>42308189.07</v>
      </c>
      <c r="AR92" s="2">
        <f t="shared" si="130"/>
        <v>42844936.190000013</v>
      </c>
      <c r="AS92" s="2">
        <f t="shared" si="126"/>
        <v>2099.6203087779895</v>
      </c>
      <c r="AT92" s="2">
        <f t="shared" si="127"/>
        <v>2147.7837961264145</v>
      </c>
      <c r="AU92" s="2">
        <f>SUMIF($CB$4:$CB$82,"&gt;1,75",AU$4:AU$82)</f>
        <v>1703.6666666666665</v>
      </c>
      <c r="AV92" s="2">
        <f>SUMIF($CB$4:$CB$82,"&gt;1,75",AV$4:AV$82)</f>
        <v>1413.6666666666667</v>
      </c>
      <c r="AW92" s="18">
        <f t="shared" si="107"/>
        <v>0.10206282325219163</v>
      </c>
      <c r="AX92" s="18">
        <f t="shared" si="107"/>
        <v>8.6706738632646399E-2</v>
      </c>
      <c r="AY92" s="2">
        <f>SUMIF($CB$4:$CB$82,"&gt;1,75",AY$4:AY$82)</f>
        <v>1752131.3527588299</v>
      </c>
      <c r="AZ92" s="2">
        <f>SUMIF($CB$4:$CB$82,"&gt;1,75",AZ$4:AZ$82)</f>
        <v>648563.15087575431</v>
      </c>
      <c r="BF92" s="2">
        <f>(L92-AY92)/AH92/12</f>
        <v>592.15279971112159</v>
      </c>
      <c r="BG92" s="2">
        <f>I92/AH92/12</f>
        <v>473.04923442156309</v>
      </c>
      <c r="BH92" s="2">
        <f>(H92+K92)/AH92/12</f>
        <v>34.710723602277277</v>
      </c>
      <c r="BI92" s="2">
        <f t="shared" si="108"/>
        <v>84.392841687281219</v>
      </c>
      <c r="BJ92" s="2">
        <f>(V92-AZ92)/AI92/12</f>
        <v>638.421669198833</v>
      </c>
      <c r="BK92" s="2">
        <f>S92/AI92/12</f>
        <v>488.97011439188731</v>
      </c>
      <c r="BL92" s="2">
        <f>(R92+U92)/AI92/12</f>
        <v>40.024939614067286</v>
      </c>
      <c r="BM92" s="2">
        <f t="shared" si="109"/>
        <v>109.42661519287842</v>
      </c>
      <c r="BN92" s="2">
        <f>(L92-AY92-Z92)/AH92/12</f>
        <v>203.84438185096053</v>
      </c>
      <c r="BO92" s="2">
        <f>(W92+Y92)/AH92/12</f>
        <v>375.59082540141441</v>
      </c>
      <c r="BP92" s="2">
        <f t="shared" si="128"/>
        <v>12.717592458746651</v>
      </c>
      <c r="BQ92" s="2">
        <f>(V92-AZ92-AD92)/AI92/12</f>
        <v>230.87009423968729</v>
      </c>
      <c r="BR92" s="2">
        <f>(AA92+AC92)/AI92/12</f>
        <v>393.47927564863113</v>
      </c>
      <c r="BS92" s="2">
        <f t="shared" si="129"/>
        <v>14.072299310514552</v>
      </c>
      <c r="BT92" s="18">
        <f t="shared" si="87"/>
        <v>0.79886345999265307</v>
      </c>
      <c r="BU92" s="18">
        <f t="shared" si="88"/>
        <v>0.7659046332269781</v>
      </c>
      <c r="BV92" s="18">
        <f>(W92+Y92)/(L92-AY92)</f>
        <v>0.63428024926107629</v>
      </c>
      <c r="BW92" s="18">
        <f>(AA92+AC92)/(V92-AZ92)</f>
        <v>0.61633132870069307</v>
      </c>
      <c r="BX92" s="34">
        <f t="shared" si="112"/>
        <v>11.488502810424119</v>
      </c>
      <c r="BY92" s="34">
        <f t="shared" si="112"/>
        <v>11.501287332646754</v>
      </c>
      <c r="BZ92" s="34">
        <f t="shared" si="113"/>
        <v>8.9260759091630923</v>
      </c>
      <c r="CA92" s="34">
        <f t="shared" si="114"/>
        <v>8.9572918985143684</v>
      </c>
      <c r="CE92">
        <v>0.63677213972673952</v>
      </c>
      <c r="CF92">
        <v>174.32297717516084</v>
      </c>
      <c r="CG92" t="e">
        <v>#N/A</v>
      </c>
      <c r="CH92" t="e">
        <v>#N/A</v>
      </c>
      <c r="CI92" t="e">
        <v>#N/A</v>
      </c>
      <c r="CJ92" t="e">
        <v>#N/A</v>
      </c>
      <c r="CK92" t="e">
        <v>#N/A</v>
      </c>
      <c r="CL92" t="e">
        <v>#N/A</v>
      </c>
    </row>
    <row r="93" spans="1:90" x14ac:dyDescent="0.35">
      <c r="B93" s="52"/>
      <c r="C93" s="2"/>
      <c r="AS93" s="2"/>
      <c r="AT93" s="2"/>
      <c r="BE93" s="28" t="s">
        <v>247</v>
      </c>
      <c r="BF93" s="29">
        <f>BF92/BF90</f>
        <v>1.4357919304232891</v>
      </c>
      <c r="BG93" s="29">
        <f t="shared" ref="BG93:BS93" si="131">BG92/BG90</f>
        <v>1.4733042440021917</v>
      </c>
      <c r="BH93" s="29">
        <f t="shared" si="131"/>
        <v>1.0614290723531588</v>
      </c>
      <c r="BI93" s="29">
        <f t="shared" si="131"/>
        <v>1.4391666993115513</v>
      </c>
      <c r="BJ93" s="29">
        <f t="shared" si="131"/>
        <v>1.4342961816966366</v>
      </c>
      <c r="BK93" s="29">
        <f t="shared" si="131"/>
        <v>1.4416699485907425</v>
      </c>
      <c r="BL93" s="29">
        <f t="shared" si="131"/>
        <v>1.1407686472797807</v>
      </c>
      <c r="BM93" s="29">
        <f t="shared" si="131"/>
        <v>1.544346203220438</v>
      </c>
      <c r="BN93" s="29">
        <f t="shared" si="131"/>
        <v>1.5386913883625144</v>
      </c>
      <c r="BO93" s="29">
        <f t="shared" si="131"/>
        <v>1.3946640389013225</v>
      </c>
      <c r="BP93" s="29">
        <f t="shared" si="131"/>
        <v>1.1955114518158549</v>
      </c>
      <c r="BQ93" s="29">
        <f t="shared" si="131"/>
        <v>1.5527282148929538</v>
      </c>
      <c r="BR93" s="29">
        <f t="shared" si="131"/>
        <v>1.3799252685839636</v>
      </c>
      <c r="BS93" s="29">
        <f t="shared" si="131"/>
        <v>1.2476138203472766</v>
      </c>
      <c r="BT93" s="18"/>
      <c r="BU93" s="18"/>
      <c r="BV93" s="18"/>
      <c r="BW93" s="18"/>
      <c r="BX93" s="34"/>
      <c r="BY93" s="29">
        <f>BY90/BY92</f>
        <v>1.6457642242560178</v>
      </c>
      <c r="BZ93" s="29"/>
      <c r="CA93" s="29">
        <f>CA90/CA92</f>
        <v>1.5277720135943662</v>
      </c>
      <c r="CE93">
        <v>17.78136963651643</v>
      </c>
      <c r="CF93">
        <v>71</v>
      </c>
      <c r="CG93" t="e">
        <v>#N/A</v>
      </c>
      <c r="CH93" t="e">
        <v>#N/A</v>
      </c>
      <c r="CI93" t="e">
        <v>#N/A</v>
      </c>
      <c r="CJ93" t="e">
        <v>#N/A</v>
      </c>
      <c r="CK93" t="e">
        <v>#N/A</v>
      </c>
      <c r="CL93" t="e">
        <v>#N/A</v>
      </c>
    </row>
    <row r="94" spans="1:90" x14ac:dyDescent="0.35">
      <c r="A94" s="1" t="s">
        <v>229</v>
      </c>
      <c r="C94" s="2"/>
      <c r="AS94" s="2"/>
      <c r="AT94" s="2"/>
      <c r="BN94" s="2"/>
      <c r="BO94" s="2"/>
      <c r="BP94" s="2"/>
      <c r="BQ94" s="2"/>
      <c r="BR94" s="2"/>
      <c r="BS94" s="2"/>
      <c r="BT94" s="18"/>
      <c r="BU94" s="18"/>
      <c r="BX94" s="34"/>
      <c r="BY94" s="34"/>
      <c r="BZ94" s="34"/>
      <c r="CA94" s="34"/>
      <c r="CE94">
        <v>3782444.1045995182</v>
      </c>
      <c r="CF94">
        <v>2157583.526356027</v>
      </c>
      <c r="CG94" t="e">
        <v>#N/A</v>
      </c>
      <c r="CH94" t="e">
        <v>#N/A</v>
      </c>
      <c r="CI94" t="e">
        <v>#N/A</v>
      </c>
      <c r="CJ94" t="e">
        <v>#N/A</v>
      </c>
      <c r="CK94" t="e">
        <v>#N/A</v>
      </c>
      <c r="CL94" t="e">
        <v>#N/A</v>
      </c>
    </row>
    <row r="95" spans="1:90" x14ac:dyDescent="0.35">
      <c r="A95" t="s">
        <v>232</v>
      </c>
      <c r="B95" s="2">
        <f>COUNTIF($CF$4:$CF$82,A95)</f>
        <v>12</v>
      </c>
      <c r="C95" s="2">
        <f t="shared" ref="C95:L97" si="132">SUMIF($CF$4:$CF$82,$A95,C$4:C$82)</f>
        <v>8438782.2500000019</v>
      </c>
      <c r="D95" s="2">
        <f t="shared" si="132"/>
        <v>8502.92</v>
      </c>
      <c r="E95" s="2">
        <f t="shared" si="132"/>
        <v>5955630.8899999997</v>
      </c>
      <c r="F95" s="2">
        <f t="shared" si="132"/>
        <v>61820484.319999918</v>
      </c>
      <c r="G95" s="2">
        <f t="shared" si="132"/>
        <v>5967737.5499999989</v>
      </c>
      <c r="H95" s="2">
        <f t="shared" si="132"/>
        <v>14392504.5</v>
      </c>
      <c r="I95" s="2">
        <f t="shared" si="132"/>
        <v>242076967.47000003</v>
      </c>
      <c r="J95" s="2">
        <f t="shared" si="132"/>
        <v>12825579.924360003</v>
      </c>
      <c r="K95" s="2">
        <f t="shared" si="132"/>
        <v>12289658.140000002</v>
      </c>
      <c r="L95" s="2">
        <f t="shared" si="132"/>
        <v>318666657.54999995</v>
      </c>
      <c r="M95" s="2">
        <f t="shared" ref="M95:V97" si="133">SUMIF($CF$4:$CF$82,$A95,M$4:M$82)</f>
        <v>10637449.219999999</v>
      </c>
      <c r="N95" s="2">
        <f t="shared" si="133"/>
        <v>16989.39</v>
      </c>
      <c r="O95" s="2">
        <f t="shared" si="133"/>
        <v>6686648.2799999993</v>
      </c>
      <c r="P95" s="2">
        <f t="shared" si="133"/>
        <v>70277466.140000015</v>
      </c>
      <c r="Q95" s="2">
        <f t="shared" si="133"/>
        <v>6180912.7700000014</v>
      </c>
      <c r="R95" s="2">
        <f t="shared" si="133"/>
        <v>15098247.77</v>
      </c>
      <c r="S95" s="2">
        <f t="shared" si="133"/>
        <v>252674901.50000006</v>
      </c>
      <c r="T95" s="2">
        <f t="shared" si="133"/>
        <v>14056696.256279999</v>
      </c>
      <c r="U95" s="2">
        <f t="shared" si="133"/>
        <v>13533311.15</v>
      </c>
      <c r="V95" s="2">
        <f t="shared" si="133"/>
        <v>340959204.63</v>
      </c>
      <c r="W95" s="2">
        <f t="shared" ref="W95:AF97" si="134">SUMIF($CF$4:$CF$82,$A95,W$4:W$82)</f>
        <v>185425431</v>
      </c>
      <c r="X95" s="2">
        <f t="shared" si="134"/>
        <v>6017939.4100000001</v>
      </c>
      <c r="Y95" s="2">
        <f t="shared" si="134"/>
        <v>13197589.98</v>
      </c>
      <c r="Z95" s="2">
        <f t="shared" si="134"/>
        <v>204640960.39000002</v>
      </c>
      <c r="AA95" s="2">
        <f t="shared" si="134"/>
        <v>185856275</v>
      </c>
      <c r="AB95" s="2">
        <f t="shared" si="134"/>
        <v>6164454.0999999996</v>
      </c>
      <c r="AC95" s="2">
        <f t="shared" si="134"/>
        <v>19962516.059999999</v>
      </c>
      <c r="AD95" s="2">
        <f t="shared" si="134"/>
        <v>211983245.16000006</v>
      </c>
      <c r="AE95" s="2">
        <f t="shared" si="134"/>
        <v>63034</v>
      </c>
      <c r="AF95" s="2">
        <f t="shared" si="134"/>
        <v>61837</v>
      </c>
      <c r="AG95" s="2">
        <f t="shared" ref="AG95:AR97" si="135">SUMIF($CF$4:$CF$82,$A95,AG$4:AG$82)</f>
        <v>61384</v>
      </c>
      <c r="AH95" s="2">
        <f t="shared" si="135"/>
        <v>62634.999999999993</v>
      </c>
      <c r="AI95" s="2">
        <f t="shared" si="135"/>
        <v>61686.000000000007</v>
      </c>
      <c r="AJ95" s="2">
        <f t="shared" si="135"/>
        <v>3108</v>
      </c>
      <c r="AK95" s="2">
        <f t="shared" si="135"/>
        <v>3120</v>
      </c>
      <c r="AL95" s="2">
        <f t="shared" si="135"/>
        <v>3145</v>
      </c>
      <c r="AM95" s="2">
        <f t="shared" si="135"/>
        <v>3112</v>
      </c>
      <c r="AN95" s="2">
        <f t="shared" si="135"/>
        <v>3128.3333333333335</v>
      </c>
      <c r="AO95" s="2">
        <f t="shared" si="135"/>
        <v>4243.5299999999988</v>
      </c>
      <c r="AP95" s="2">
        <f t="shared" si="135"/>
        <v>4273.05</v>
      </c>
      <c r="AQ95" s="2">
        <f t="shared" si="135"/>
        <v>129466533.64999998</v>
      </c>
      <c r="AR95" s="2">
        <f t="shared" si="135"/>
        <v>131067955.00999998</v>
      </c>
      <c r="AS95" s="2">
        <f t="shared" ref="AS95:AS97" si="136">AQ95/AO95/12</f>
        <v>2542.4299590592427</v>
      </c>
      <c r="AT95" s="2">
        <f t="shared" ref="AT95:AT97" si="137">AR95/AP95/12</f>
        <v>2556.0968357886436</v>
      </c>
      <c r="AU95" s="2">
        <f t="shared" ref="AU95:AV97" si="138">SUMIF($CF$4:$CF$82,$A95,AU$4:AU$82)</f>
        <v>1080.6666666666667</v>
      </c>
      <c r="AV95" s="2">
        <f t="shared" si="138"/>
        <v>1050.3333333333333</v>
      </c>
      <c r="AW95" s="18">
        <f t="shared" ref="AW95:AX97" si="139">AU95/(AH95+AU95)</f>
        <v>1.6960768413838569E-2</v>
      </c>
      <c r="AX95" s="18">
        <f t="shared" si="139"/>
        <v>1.6742026151778073E-2</v>
      </c>
      <c r="AY95" s="2">
        <f t="shared" ref="AY95:AZ97" si="140">SUMIF($CF$4:$CF$82,$A95,AY$4:AY$82)</f>
        <v>81646.613395577908</v>
      </c>
      <c r="AZ95" s="2">
        <f t="shared" si="140"/>
        <v>95009.547896894655</v>
      </c>
      <c r="BF95" s="2">
        <f>(L95-AY95)/AH95/12</f>
        <v>423.8644673327006</v>
      </c>
      <c r="BG95" s="2">
        <f>I95/AH95/12</f>
        <v>322.07361096032577</v>
      </c>
      <c r="BH95" s="2">
        <f>(H95+K95)/AH95/12</f>
        <v>35.49953785157394</v>
      </c>
      <c r="BI95" s="2">
        <f t="shared" ref="BI95:BI97" si="141">BF95-BG95-BH95</f>
        <v>66.2913185208009</v>
      </c>
      <c r="BJ95" s="2">
        <f>(V95-AZ95)/AI95/12</f>
        <v>460.48292303237776</v>
      </c>
      <c r="BK95" s="2">
        <f>S95/AI95/12</f>
        <v>341.3455531509041</v>
      </c>
      <c r="BL95" s="2">
        <f>(R95+U95)/AI95/12</f>
        <v>38.679169395540853</v>
      </c>
      <c r="BM95" s="2">
        <f t="shared" ref="BM95:BM97" si="142">BJ95-BK95-BL95</f>
        <v>80.458200485932807</v>
      </c>
      <c r="BN95" s="2">
        <f>(L95-AY95-Z95)/AH95/12</f>
        <v>151.59794915862321</v>
      </c>
      <c r="BO95" s="2">
        <f>(W95+Y95)/AH95/12</f>
        <v>264.25989327053566</v>
      </c>
      <c r="BP95" s="2">
        <f t="shared" ref="BP95:BP97" si="143">BF95-BN95-BO95</f>
        <v>8.0066249035417627</v>
      </c>
      <c r="BQ95" s="2">
        <f>(V95-AZ95-AD95)/AI95/12</f>
        <v>174.1088603601344</v>
      </c>
      <c r="BR95" s="2">
        <f>(AA95+AC95)/AI95/12</f>
        <v>278.04633015054736</v>
      </c>
      <c r="BS95" s="2">
        <f t="shared" ref="BS95:BS97" si="144">BJ95-BQ95-BR95</f>
        <v>8.3277325216959639</v>
      </c>
      <c r="BT95" s="18">
        <f t="shared" si="87"/>
        <v>0.75985046113224453</v>
      </c>
      <c r="BU95" s="18">
        <f t="shared" si="88"/>
        <v>0.74127733315943878</v>
      </c>
      <c r="BV95" s="18">
        <f>(W95+Y95)/(L95-AY95)</f>
        <v>0.62345375382247414</v>
      </c>
      <c r="BW95" s="18">
        <f>(AA95+AC95)/(V95-AZ95)</f>
        <v>0.60381463946491931</v>
      </c>
      <c r="BX95" s="34">
        <f t="shared" ref="BX95:BY97" si="145">AH95/AM95</f>
        <v>20.126928020565551</v>
      </c>
      <c r="BY95" s="34">
        <f t="shared" si="145"/>
        <v>19.71848694725626</v>
      </c>
      <c r="BZ95" s="34">
        <f t="shared" ref="BZ95:BZ97" si="146">AH95/AO95</f>
        <v>14.760117166604221</v>
      </c>
      <c r="CA95" s="34">
        <f t="shared" ref="CA95:CA97" si="147">AI95/AP95</f>
        <v>14.436058553024187</v>
      </c>
    </row>
    <row r="96" spans="1:90" x14ac:dyDescent="0.35">
      <c r="A96" t="s">
        <v>233</v>
      </c>
      <c r="B96" s="2">
        <f>COUNTIF($CF$4:$CF$82,A96)</f>
        <v>13</v>
      </c>
      <c r="C96" s="2">
        <f t="shared" si="132"/>
        <v>2580751.7999999998</v>
      </c>
      <c r="D96" s="2">
        <f t="shared" si="132"/>
        <v>1998.1799999999998</v>
      </c>
      <c r="E96" s="2">
        <f t="shared" si="132"/>
        <v>127687.48000000001</v>
      </c>
      <c r="F96" s="2">
        <f t="shared" si="132"/>
        <v>17491802.420000002</v>
      </c>
      <c r="G96" s="2">
        <f t="shared" si="132"/>
        <v>3077793.08</v>
      </c>
      <c r="H96" s="2">
        <f t="shared" si="132"/>
        <v>1323330.79</v>
      </c>
      <c r="I96" s="2">
        <f t="shared" si="132"/>
        <v>92052672.01000002</v>
      </c>
      <c r="J96" s="2">
        <f t="shared" si="132"/>
        <v>5498432.5664400011</v>
      </c>
      <c r="K96" s="2">
        <f t="shared" si="132"/>
        <v>7708315.080000001</v>
      </c>
      <c r="L96" s="2">
        <f t="shared" si="132"/>
        <v>116757746.41</v>
      </c>
      <c r="M96" s="2">
        <f t="shared" si="133"/>
        <v>2999448.35</v>
      </c>
      <c r="N96" s="2">
        <f t="shared" si="133"/>
        <v>3775.09</v>
      </c>
      <c r="O96" s="2">
        <f t="shared" si="133"/>
        <v>96940</v>
      </c>
      <c r="P96" s="2">
        <f t="shared" si="133"/>
        <v>19047529.210000001</v>
      </c>
      <c r="Q96" s="2">
        <f t="shared" si="133"/>
        <v>3012946.01</v>
      </c>
      <c r="R96" s="2">
        <f t="shared" si="133"/>
        <v>1215245.2300000002</v>
      </c>
      <c r="S96" s="2">
        <f t="shared" si="133"/>
        <v>93841255.370000005</v>
      </c>
      <c r="T96" s="2">
        <f t="shared" si="133"/>
        <v>5587952.4599399995</v>
      </c>
      <c r="U96" s="2">
        <f t="shared" si="133"/>
        <v>7607132.4299999997</v>
      </c>
      <c r="V96" s="2">
        <f t="shared" si="133"/>
        <v>120486194.44</v>
      </c>
      <c r="W96" s="2">
        <f t="shared" si="134"/>
        <v>72347628</v>
      </c>
      <c r="X96" s="2">
        <f t="shared" si="134"/>
        <v>4735353.709999999</v>
      </c>
      <c r="Y96" s="2">
        <f t="shared" si="134"/>
        <v>4584718.2600000016</v>
      </c>
      <c r="Z96" s="2">
        <f t="shared" si="134"/>
        <v>81667699.969999999</v>
      </c>
      <c r="AA96" s="2">
        <f t="shared" si="134"/>
        <v>73544285</v>
      </c>
      <c r="AB96" s="2">
        <f t="shared" si="134"/>
        <v>4989039.1399999997</v>
      </c>
      <c r="AC96" s="2">
        <f t="shared" si="134"/>
        <v>5626688.5300000003</v>
      </c>
      <c r="AD96" s="2">
        <f t="shared" si="134"/>
        <v>84160012.670000002</v>
      </c>
      <c r="AE96" s="2">
        <f t="shared" si="134"/>
        <v>22170</v>
      </c>
      <c r="AF96" s="2">
        <f t="shared" si="134"/>
        <v>22128</v>
      </c>
      <c r="AG96" s="2">
        <f t="shared" si="135"/>
        <v>22139</v>
      </c>
      <c r="AH96" s="2">
        <f t="shared" si="135"/>
        <v>22156</v>
      </c>
      <c r="AI96" s="2">
        <f t="shared" si="135"/>
        <v>22131.666666666668</v>
      </c>
      <c r="AJ96" s="2">
        <f t="shared" si="135"/>
        <v>1335</v>
      </c>
      <c r="AK96" s="2">
        <f t="shared" si="135"/>
        <v>1318</v>
      </c>
      <c r="AL96" s="2">
        <f t="shared" si="135"/>
        <v>1312</v>
      </c>
      <c r="AM96" s="2">
        <f t="shared" si="135"/>
        <v>1329.3333333333333</v>
      </c>
      <c r="AN96" s="2">
        <f t="shared" si="135"/>
        <v>1316</v>
      </c>
      <c r="AO96" s="2">
        <f t="shared" si="135"/>
        <v>1753.27</v>
      </c>
      <c r="AP96" s="2">
        <f t="shared" si="135"/>
        <v>1764.23</v>
      </c>
      <c r="AQ96" s="2">
        <f t="shared" si="135"/>
        <v>49847064.020000003</v>
      </c>
      <c r="AR96" s="2">
        <f t="shared" si="135"/>
        <v>50126151.489999995</v>
      </c>
      <c r="AS96" s="2">
        <f t="shared" si="136"/>
        <v>2369.2426161781509</v>
      </c>
      <c r="AT96" s="2">
        <f t="shared" si="137"/>
        <v>2367.706756394196</v>
      </c>
      <c r="AU96" s="2">
        <f t="shared" si="138"/>
        <v>360.66666666666663</v>
      </c>
      <c r="AV96" s="2">
        <f t="shared" si="138"/>
        <v>355.33333333333331</v>
      </c>
      <c r="AW96" s="18">
        <f t="shared" si="139"/>
        <v>1.6017764618800886E-2</v>
      </c>
      <c r="AX96" s="18">
        <f t="shared" si="139"/>
        <v>1.5801722476690237E-2</v>
      </c>
      <c r="AY96" s="2">
        <f t="shared" si="140"/>
        <v>474861.52371613571</v>
      </c>
      <c r="AZ96" s="2">
        <f t="shared" si="140"/>
        <v>183812.53288993932</v>
      </c>
      <c r="BF96" s="2">
        <f>(L96-AY96)/AH96/12</f>
        <v>437.36416353088651</v>
      </c>
      <c r="BG96" s="2">
        <f>I96/AH96/12</f>
        <v>346.22928330173926</v>
      </c>
      <c r="BH96" s="2">
        <f>(H96+K96)/AH96/12</f>
        <v>33.969902321417827</v>
      </c>
      <c r="BI96" s="2">
        <f t="shared" si="141"/>
        <v>57.16497790772943</v>
      </c>
      <c r="BJ96" s="2">
        <f>(V96-AZ96)/AI96/12</f>
        <v>452.97982493828619</v>
      </c>
      <c r="BK96" s="2">
        <f>S96/AI96/12</f>
        <v>353.34458682882746</v>
      </c>
      <c r="BL96" s="2">
        <f>(R96+U96)/AI96/12</f>
        <v>33.219284810603206</v>
      </c>
      <c r="BM96" s="2">
        <f t="shared" si="142"/>
        <v>66.415953298855527</v>
      </c>
      <c r="BN96" s="2">
        <f>(L96-AY96-Z96)/AH96/12</f>
        <v>130.1949243105098</v>
      </c>
      <c r="BO96" s="2">
        <f>(W96+Y96)/AH96/12</f>
        <v>289.35858706445208</v>
      </c>
      <c r="BP96" s="2">
        <f t="shared" si="143"/>
        <v>17.810652155924629</v>
      </c>
      <c r="BQ96" s="2">
        <f>(V96-AZ96-AD96)/AI96/12</f>
        <v>136.08844505275269</v>
      </c>
      <c r="BR96" s="2">
        <f>(AA96+AC96)/AI96/12</f>
        <v>298.1059324120792</v>
      </c>
      <c r="BS96" s="2">
        <f t="shared" si="144"/>
        <v>18.785447473454326</v>
      </c>
      <c r="BT96" s="18">
        <f t="shared" si="87"/>
        <v>0.79162700598648539</v>
      </c>
      <c r="BU96" s="18">
        <f t="shared" si="88"/>
        <v>0.78004486596498424</v>
      </c>
      <c r="BV96" s="18">
        <f>(W96+Y96)/(L96-AY96)</f>
        <v>0.66159647084120932</v>
      </c>
      <c r="BW96" s="18">
        <f>(AA96+AC96)/(V96-AZ96)</f>
        <v>0.6580998004771913</v>
      </c>
      <c r="BX96" s="34">
        <f t="shared" si="145"/>
        <v>16.667001003009027</v>
      </c>
      <c r="BY96" s="34">
        <f t="shared" si="145"/>
        <v>16.817375886524825</v>
      </c>
      <c r="BZ96" s="34">
        <f t="shared" si="146"/>
        <v>12.636958369218661</v>
      </c>
      <c r="CA96" s="34">
        <f t="shared" si="147"/>
        <v>12.544660654600969</v>
      </c>
    </row>
    <row r="97" spans="1:79" x14ac:dyDescent="0.35">
      <c r="A97" t="s">
        <v>234</v>
      </c>
      <c r="B97" s="2">
        <f>COUNTIF($CF$4:$CF$82,A97)</f>
        <v>54</v>
      </c>
      <c r="C97" s="2">
        <f t="shared" si="132"/>
        <v>7667092.5800000001</v>
      </c>
      <c r="D97" s="2">
        <f t="shared" si="132"/>
        <v>12859.449999999997</v>
      </c>
      <c r="E97" s="2">
        <f t="shared" si="132"/>
        <v>1297012.3799999999</v>
      </c>
      <c r="F97" s="2">
        <f t="shared" si="132"/>
        <v>54698722.920000017</v>
      </c>
      <c r="G97" s="2">
        <f t="shared" si="132"/>
        <v>11238228.959999999</v>
      </c>
      <c r="H97" s="2">
        <f t="shared" si="132"/>
        <v>298765.92</v>
      </c>
      <c r="I97" s="2">
        <f t="shared" si="132"/>
        <v>275751260.88999993</v>
      </c>
      <c r="J97" s="2">
        <f t="shared" si="132"/>
        <v>16450934.007960007</v>
      </c>
      <c r="K97" s="2">
        <f t="shared" si="132"/>
        <v>22946416.140000001</v>
      </c>
      <c r="L97" s="2">
        <f t="shared" si="132"/>
        <v>349838123.01999998</v>
      </c>
      <c r="M97" s="2">
        <f t="shared" si="133"/>
        <v>9147821.5399999991</v>
      </c>
      <c r="N97" s="2">
        <f t="shared" si="133"/>
        <v>13457.080000000002</v>
      </c>
      <c r="O97" s="2">
        <f t="shared" si="133"/>
        <v>679803.78999999992</v>
      </c>
      <c r="P97" s="2">
        <f t="shared" si="133"/>
        <v>60819799.089999996</v>
      </c>
      <c r="Q97" s="2">
        <f t="shared" si="133"/>
        <v>11645524.129999999</v>
      </c>
      <c r="R97" s="2">
        <f t="shared" si="133"/>
        <v>252343.01</v>
      </c>
      <c r="S97" s="2">
        <f t="shared" si="133"/>
        <v>280273345.82999998</v>
      </c>
      <c r="T97" s="2">
        <f t="shared" si="133"/>
        <v>16416625.547159998</v>
      </c>
      <c r="U97" s="2">
        <f t="shared" si="133"/>
        <v>24770903.470000003</v>
      </c>
      <c r="V97" s="2">
        <f t="shared" si="133"/>
        <v>363379802.88000005</v>
      </c>
      <c r="W97" s="2">
        <f t="shared" si="134"/>
        <v>212630170</v>
      </c>
      <c r="X97" s="2">
        <f t="shared" si="134"/>
        <v>7368762.7999999998</v>
      </c>
      <c r="Y97" s="2">
        <f t="shared" si="134"/>
        <v>12639763.949999999</v>
      </c>
      <c r="Z97" s="2">
        <f t="shared" si="134"/>
        <v>232638696.75</v>
      </c>
      <c r="AA97" s="2">
        <f t="shared" si="134"/>
        <v>213219150</v>
      </c>
      <c r="AB97" s="2">
        <f t="shared" si="134"/>
        <v>7692285.6100000013</v>
      </c>
      <c r="AC97" s="2">
        <f t="shared" si="134"/>
        <v>19668361.990000006</v>
      </c>
      <c r="AD97" s="2">
        <f t="shared" si="134"/>
        <v>240579797.59999993</v>
      </c>
      <c r="AE97" s="2">
        <f t="shared" si="134"/>
        <v>59928</v>
      </c>
      <c r="AF97" s="2">
        <f t="shared" si="134"/>
        <v>57183</v>
      </c>
      <c r="AG97" s="2">
        <f t="shared" si="135"/>
        <v>56409</v>
      </c>
      <c r="AH97" s="2">
        <f t="shared" si="135"/>
        <v>59013.000000000015</v>
      </c>
      <c r="AI97" s="2">
        <f t="shared" si="135"/>
        <v>56925</v>
      </c>
      <c r="AJ97" s="2">
        <f t="shared" si="135"/>
        <v>4176</v>
      </c>
      <c r="AK97" s="2">
        <f t="shared" si="135"/>
        <v>4086</v>
      </c>
      <c r="AL97" s="2">
        <f t="shared" si="135"/>
        <v>4052</v>
      </c>
      <c r="AM97" s="2">
        <f t="shared" si="135"/>
        <v>4146</v>
      </c>
      <c r="AN97" s="2">
        <f t="shared" si="135"/>
        <v>4074.6666666666665</v>
      </c>
      <c r="AO97" s="2">
        <f t="shared" si="135"/>
        <v>5556.41</v>
      </c>
      <c r="AP97" s="2">
        <f t="shared" si="135"/>
        <v>5501.260000000002</v>
      </c>
      <c r="AQ97" s="2">
        <f t="shared" si="135"/>
        <v>143815926.06999999</v>
      </c>
      <c r="AR97" s="2">
        <f t="shared" si="135"/>
        <v>143711690.57999995</v>
      </c>
      <c r="AS97" s="2">
        <f t="shared" si="136"/>
        <v>2156.9071587289877</v>
      </c>
      <c r="AT97" s="2">
        <f t="shared" si="137"/>
        <v>2176.9511375575762</v>
      </c>
      <c r="AU97" s="2">
        <f t="shared" si="138"/>
        <v>3818.3333333333335</v>
      </c>
      <c r="AV97" s="2">
        <f t="shared" si="138"/>
        <v>3454.3333333333335</v>
      </c>
      <c r="AW97" s="18">
        <f t="shared" si="139"/>
        <v>6.0771165129924545E-2</v>
      </c>
      <c r="AX97" s="18">
        <f t="shared" si="139"/>
        <v>5.7210524572425446E-2</v>
      </c>
      <c r="AY97" s="2">
        <f t="shared" si="140"/>
        <v>2399530.6951294923</v>
      </c>
      <c r="AZ97" s="2">
        <f t="shared" si="140"/>
        <v>1212187.843496237</v>
      </c>
      <c r="BF97" s="2">
        <f>(L97-AY97)/AH97/12</f>
        <v>490.62437136008225</v>
      </c>
      <c r="BG97" s="2">
        <f>I97/AH97/12</f>
        <v>389.39338350589401</v>
      </c>
      <c r="BH97" s="2">
        <f>(H97+K97)/AH97/12</f>
        <v>32.824945435751438</v>
      </c>
      <c r="BI97" s="2">
        <f t="shared" si="141"/>
        <v>68.406042418436812</v>
      </c>
      <c r="BJ97" s="2">
        <f>(V97-AZ97)/AI97/12</f>
        <v>530.18242575977717</v>
      </c>
      <c r="BK97" s="2">
        <f>S97/AI97/12</f>
        <v>410.29621699604741</v>
      </c>
      <c r="BL97" s="2">
        <f>(R97+U97)/AI97/12</f>
        <v>36.631893544137029</v>
      </c>
      <c r="BM97" s="2">
        <f t="shared" si="142"/>
        <v>83.254315219592741</v>
      </c>
      <c r="BN97" s="2">
        <f>(L97-AY97-Z97)/AH97/12</f>
        <v>162.11102578368386</v>
      </c>
      <c r="BO97" s="2">
        <f>(W97+Y97)/AH97/12</f>
        <v>318.10778126570972</v>
      </c>
      <c r="BP97" s="2">
        <f t="shared" si="143"/>
        <v>10.405564310688646</v>
      </c>
      <c r="BQ97" s="2">
        <f>(V97-AZ97-AD97)/AI97/12</f>
        <v>177.99416986752138</v>
      </c>
      <c r="BR97" s="2">
        <f>(AA97+AC97)/AI97/12</f>
        <v>340.92740739276826</v>
      </c>
      <c r="BS97" s="2">
        <f t="shared" si="144"/>
        <v>11.260848499487565</v>
      </c>
      <c r="BT97" s="18">
        <f t="shared" si="87"/>
        <v>0.79366905974613289</v>
      </c>
      <c r="BU97" s="18">
        <f t="shared" si="88"/>
        <v>0.77387743738973047</v>
      </c>
      <c r="BV97" s="18">
        <f>(W97+Y97)/(L97-AY97)</f>
        <v>0.64837337856631261</v>
      </c>
      <c r="BW97" s="18">
        <f>(AA97+AC97)/(V97-AZ97)</f>
        <v>0.64303792586901143</v>
      </c>
      <c r="BX97" s="34">
        <f t="shared" si="145"/>
        <v>14.233719247467443</v>
      </c>
      <c r="BY97" s="34">
        <f t="shared" si="145"/>
        <v>13.970467931937174</v>
      </c>
      <c r="BZ97" s="34">
        <f t="shared" si="146"/>
        <v>10.620706535334868</v>
      </c>
      <c r="CA97" s="34">
        <f t="shared" si="147"/>
        <v>10.347629452161865</v>
      </c>
    </row>
    <row r="98" spans="1:79" x14ac:dyDescent="0.35">
      <c r="C98" s="2"/>
      <c r="AS98" s="2"/>
      <c r="AT98" s="2"/>
      <c r="BE98" s="28" t="s">
        <v>248</v>
      </c>
      <c r="BF98" s="29">
        <f>BF97/BF95</f>
        <v>1.1575029500526175</v>
      </c>
      <c r="BG98" s="29">
        <f t="shared" ref="BG98:BS98" si="148">BG97/BG95</f>
        <v>1.2090198335245197</v>
      </c>
      <c r="BH98" s="29">
        <f t="shared" si="148"/>
        <v>0.92465838775126707</v>
      </c>
      <c r="BI98" s="29">
        <f t="shared" si="148"/>
        <v>1.0319004651713535</v>
      </c>
      <c r="BJ98" s="29">
        <f t="shared" si="148"/>
        <v>1.1513617535877627</v>
      </c>
      <c r="BK98" s="29">
        <f t="shared" si="148"/>
        <v>1.2019966664533086</v>
      </c>
      <c r="BL98" s="29">
        <f t="shared" si="148"/>
        <v>0.94707032536123059</v>
      </c>
      <c r="BM98" s="29">
        <f t="shared" si="148"/>
        <v>1.0347523896479489</v>
      </c>
      <c r="BN98" s="29">
        <f t="shared" si="148"/>
        <v>1.0693484092852759</v>
      </c>
      <c r="BO98" s="29">
        <f t="shared" si="148"/>
        <v>1.2037686738185707</v>
      </c>
      <c r="BP98" s="29">
        <f t="shared" si="148"/>
        <v>1.2996193072671236</v>
      </c>
      <c r="BQ98" s="29">
        <f t="shared" si="148"/>
        <v>1.0223154037040414</v>
      </c>
      <c r="BR98" s="29">
        <f t="shared" si="148"/>
        <v>1.2261532357149765</v>
      </c>
      <c r="BS98" s="29">
        <f t="shared" si="148"/>
        <v>1.3522106371872598</v>
      </c>
      <c r="BT98" s="18"/>
      <c r="BU98" s="18"/>
      <c r="BV98" s="18"/>
      <c r="BW98" s="18"/>
      <c r="BX98" s="34"/>
      <c r="BY98" s="29">
        <f>BY95/BY97</f>
        <v>1.4114406935632293</v>
      </c>
      <c r="BZ98" s="29"/>
      <c r="CA98" s="29"/>
    </row>
    <row r="99" spans="1:79" x14ac:dyDescent="0.35">
      <c r="A99" s="1" t="s">
        <v>230</v>
      </c>
      <c r="C99" s="2"/>
      <c r="AS99" s="2"/>
      <c r="AT99" s="2"/>
      <c r="BN99" s="2"/>
      <c r="BO99" s="2"/>
      <c r="BP99" s="2"/>
      <c r="BQ99" s="2"/>
      <c r="BR99" s="2"/>
      <c r="BS99" s="2"/>
      <c r="BT99" s="18"/>
      <c r="BU99" s="18"/>
      <c r="BX99" s="34"/>
      <c r="BY99" s="34"/>
      <c r="BZ99" s="34"/>
      <c r="CA99" s="34"/>
    </row>
    <row r="100" spans="1:79" x14ac:dyDescent="0.35">
      <c r="A100" t="s">
        <v>239</v>
      </c>
      <c r="B100" s="2">
        <f>COUNTIF($CE$4:$CE$82,"&gt;=16000")</f>
        <v>12</v>
      </c>
      <c r="C100" s="2">
        <f t="shared" ref="C100:AR100" si="149">SUMIF($CE$4:$CE$82,"&gt;16000",C$4:C$82)</f>
        <v>10900470.770000001</v>
      </c>
      <c r="D100" s="2">
        <f t="shared" si="149"/>
        <v>17083.46</v>
      </c>
      <c r="E100" s="2">
        <f t="shared" si="149"/>
        <v>6870294.6100000003</v>
      </c>
      <c r="F100" s="2">
        <f t="shared" si="149"/>
        <v>77594149.609999895</v>
      </c>
      <c r="G100" s="2">
        <f t="shared" si="149"/>
        <v>7605830.129999999</v>
      </c>
      <c r="H100" s="2">
        <f t="shared" si="149"/>
        <v>14282385.270000001</v>
      </c>
      <c r="I100" s="2">
        <f t="shared" si="149"/>
        <v>357249013.09999996</v>
      </c>
      <c r="J100" s="2">
        <f t="shared" si="149"/>
        <v>19763789.012880001</v>
      </c>
      <c r="K100" s="2">
        <f t="shared" si="149"/>
        <v>23308026.490000002</v>
      </c>
      <c r="L100" s="2">
        <f t="shared" si="149"/>
        <v>461462913.29999989</v>
      </c>
      <c r="M100" s="2">
        <f t="shared" si="149"/>
        <v>13295478.440000001</v>
      </c>
      <c r="N100" s="2">
        <f t="shared" si="149"/>
        <v>27248.579999999998</v>
      </c>
      <c r="O100" s="2">
        <f t="shared" si="149"/>
        <v>6941481.8099999996</v>
      </c>
      <c r="P100" s="2">
        <f t="shared" si="149"/>
        <v>86516973.019999996</v>
      </c>
      <c r="Q100" s="2">
        <f t="shared" si="149"/>
        <v>7780786.8399999999</v>
      </c>
      <c r="R100" s="2">
        <f t="shared" si="149"/>
        <v>14979369.280000001</v>
      </c>
      <c r="S100" s="2">
        <f t="shared" si="149"/>
        <v>367484158.72000009</v>
      </c>
      <c r="T100" s="2">
        <f t="shared" si="149"/>
        <v>20712369.264180001</v>
      </c>
      <c r="U100" s="2">
        <f t="shared" si="149"/>
        <v>23926276.59</v>
      </c>
      <c r="V100" s="2">
        <f t="shared" si="149"/>
        <v>483469348.50999999</v>
      </c>
      <c r="W100" s="2">
        <f t="shared" si="149"/>
        <v>278542912</v>
      </c>
      <c r="X100" s="2">
        <f t="shared" si="149"/>
        <v>11122775.759999998</v>
      </c>
      <c r="Y100" s="2">
        <f t="shared" si="149"/>
        <v>20789372.710000001</v>
      </c>
      <c r="Z100" s="2">
        <f t="shared" si="149"/>
        <v>310455060.47000003</v>
      </c>
      <c r="AA100" s="2">
        <f t="shared" si="149"/>
        <v>278258913</v>
      </c>
      <c r="AB100" s="2">
        <f t="shared" si="149"/>
        <v>11372465.279999999</v>
      </c>
      <c r="AC100" s="2">
        <f t="shared" si="149"/>
        <v>29641438.280000005</v>
      </c>
      <c r="AD100" s="2">
        <f t="shared" si="149"/>
        <v>319272816.56</v>
      </c>
      <c r="AE100" s="2">
        <f t="shared" si="149"/>
        <v>94027</v>
      </c>
      <c r="AF100" s="2">
        <f t="shared" si="149"/>
        <v>90590</v>
      </c>
      <c r="AG100" s="2">
        <f t="shared" si="149"/>
        <v>89090</v>
      </c>
      <c r="AH100" s="2">
        <f t="shared" si="149"/>
        <v>92881.333333333328</v>
      </c>
      <c r="AI100" s="2">
        <f t="shared" si="149"/>
        <v>90090.000000000015</v>
      </c>
      <c r="AJ100" s="2">
        <f t="shared" si="149"/>
        <v>4853</v>
      </c>
      <c r="AK100" s="2">
        <f t="shared" si="149"/>
        <v>4751</v>
      </c>
      <c r="AL100" s="2">
        <f t="shared" si="149"/>
        <v>4738</v>
      </c>
      <c r="AM100" s="2">
        <f t="shared" si="149"/>
        <v>4819</v>
      </c>
      <c r="AN100" s="2">
        <f t="shared" si="149"/>
        <v>4746.6666666666661</v>
      </c>
      <c r="AO100" s="2">
        <f t="shared" si="149"/>
        <v>6512.8</v>
      </c>
      <c r="AP100" s="2">
        <f t="shared" si="149"/>
        <v>6490.43</v>
      </c>
      <c r="AQ100" s="2">
        <f t="shared" si="149"/>
        <v>193019356.03999996</v>
      </c>
      <c r="AR100" s="2">
        <f t="shared" si="149"/>
        <v>193265044.28999999</v>
      </c>
      <c r="AS100" s="2">
        <f t="shared" ref="AS100:AS102" si="150">AQ100/AO100/12</f>
        <v>2469.7436335626248</v>
      </c>
      <c r="AT100" s="2">
        <f t="shared" ref="AT100:AT102" si="151">AR100/AP100/12</f>
        <v>2481.4103776637294</v>
      </c>
      <c r="AU100" s="2">
        <f>SUMIF($CE$4:$CE$82,"&gt;16000",AU$4:AU$82)</f>
        <v>1226</v>
      </c>
      <c r="AV100" s="2">
        <f>SUMIF($CE$4:$CE$82,"&gt;16000",AV$4:AV$82)</f>
        <v>1199</v>
      </c>
      <c r="AW100" s="18">
        <f t="shared" ref="AW100:AX103" si="152">AU100/(AH100+AU100)</f>
        <v>1.302767761633879E-2</v>
      </c>
      <c r="AX100" s="18">
        <f t="shared" si="152"/>
        <v>1.3134112543679959E-2</v>
      </c>
      <c r="AY100" s="2">
        <f>SUMIF($CE$4:$CE$82,"&gt;16000",AY$4:AY$82)</f>
        <v>541904.96273271053</v>
      </c>
      <c r="AZ100" s="2">
        <f>SUMIF($CE$4:$CE$82,"&gt;16000",AZ$4:AZ$82)</f>
        <v>561393.3071042964</v>
      </c>
      <c r="BF100" s="2">
        <f>(L100-AY100)/AH100/12</f>
        <v>413.53932646788303</v>
      </c>
      <c r="BG100" s="2">
        <f>I100/AH100/12</f>
        <v>320.52458791504574</v>
      </c>
      <c r="BH100" s="2">
        <f>(H100+K100)/AH100/12</f>
        <v>33.726198805644486</v>
      </c>
      <c r="BI100" s="2">
        <f t="shared" ref="BI100:BI103" si="153">BF100-BG100-BH100</f>
        <v>59.2885397471928</v>
      </c>
      <c r="BJ100" s="2">
        <f>(V100-AZ100)/AI100/12</f>
        <v>446.69030525298371</v>
      </c>
      <c r="BK100" s="2">
        <f>S100/AI100/12</f>
        <v>339.92318673918675</v>
      </c>
      <c r="BL100" s="2">
        <f>(R100+U100)/AI100/12</f>
        <v>35.987758417508417</v>
      </c>
      <c r="BM100" s="2">
        <f t="shared" ref="BM100:BM103" si="154">BJ100-BK100-BL100</f>
        <v>70.779360096288542</v>
      </c>
      <c r="BN100" s="2">
        <f>(L100-AY100-Z100)/AH100/12</f>
        <v>134.99837415058923</v>
      </c>
      <c r="BO100" s="2">
        <f>(W100+Y100)/AH100/12</f>
        <v>268.56157382717731</v>
      </c>
      <c r="BP100" s="2">
        <f t="shared" ref="BP100:BP102" si="155">BF100-BN100-BO100</f>
        <v>9.9793784901164599</v>
      </c>
      <c r="BQ100" s="2">
        <f>(V100-AZ100-AD100)/AI100/12</f>
        <v>151.3626546073331</v>
      </c>
      <c r="BR100" s="2">
        <f>(AA100+AC100)/AI100/12</f>
        <v>284.80810974210971</v>
      </c>
      <c r="BS100" s="2">
        <f t="shared" ref="BS100:BS102" si="156">BJ100-BQ100-BR100</f>
        <v>10.519540903540872</v>
      </c>
      <c r="BT100" s="18">
        <f t="shared" si="87"/>
        <v>0.77507643747622834</v>
      </c>
      <c r="BU100" s="18">
        <f t="shared" si="88"/>
        <v>0.76098178702730246</v>
      </c>
      <c r="BV100" s="18">
        <f>(W100+Y100)/(L100-AY100)</f>
        <v>0.64942209032696385</v>
      </c>
      <c r="BW100" s="18">
        <f>(AA100+AC100)/(V100-AZ100)</f>
        <v>0.63759635343061283</v>
      </c>
      <c r="BX100" s="34">
        <f t="shared" ref="BX100:BY103" si="157">AH100/AM100</f>
        <v>19.273984920799613</v>
      </c>
      <c r="BY100" s="34">
        <f t="shared" si="157"/>
        <v>18.979634831460679</v>
      </c>
      <c r="BZ100" s="34">
        <f t="shared" ref="BZ100:BZ103" si="158">AH100/AO100</f>
        <v>14.26135200425828</v>
      </c>
      <c r="CA100" s="34">
        <f t="shared" ref="CA100:CA103" si="159">AI100/AP100</f>
        <v>13.88043627309747</v>
      </c>
    </row>
    <row r="101" spans="1:79" x14ac:dyDescent="0.35">
      <c r="A101" t="s">
        <v>238</v>
      </c>
      <c r="B101" s="2">
        <f>COUNTIF($CE$4:$CE$82,"&gt;=8000")-B100</f>
        <v>24</v>
      </c>
      <c r="C101" s="2">
        <f t="shared" ref="C101:AR101" si="160">SUMIF($CE$4:$CE$82,"&gt;=8000",C$4:C$82)-C100</f>
        <v>4296123.8100000042</v>
      </c>
      <c r="D101" s="2">
        <f t="shared" si="160"/>
        <v>5606.8500000000022</v>
      </c>
      <c r="E101" s="2">
        <f t="shared" si="160"/>
        <v>119756.75999999978</v>
      </c>
      <c r="F101" s="2">
        <f t="shared" si="160"/>
        <v>30728157.320000052</v>
      </c>
      <c r="G101" s="2">
        <f t="shared" si="160"/>
        <v>6786301.0900000017</v>
      </c>
      <c r="H101" s="2">
        <f t="shared" si="160"/>
        <v>740882.40000000224</v>
      </c>
      <c r="I101" s="2">
        <f t="shared" si="160"/>
        <v>137404900.16000003</v>
      </c>
      <c r="J101" s="2">
        <f t="shared" si="160"/>
        <v>7763048.1829800047</v>
      </c>
      <c r="K101" s="2">
        <f t="shared" si="160"/>
        <v>11308257.260000013</v>
      </c>
      <c r="L101" s="2">
        <f t="shared" si="160"/>
        <v>176956744.31000012</v>
      </c>
      <c r="M101" s="2">
        <f t="shared" si="160"/>
        <v>5297001.4900000021</v>
      </c>
      <c r="N101" s="2">
        <f t="shared" si="160"/>
        <v>1028.9499999999971</v>
      </c>
      <c r="O101" s="2">
        <f t="shared" si="160"/>
        <v>236333.5</v>
      </c>
      <c r="P101" s="2">
        <f t="shared" si="160"/>
        <v>34769336.61999999</v>
      </c>
      <c r="Q101" s="2">
        <f t="shared" si="160"/>
        <v>7095338.8500000015</v>
      </c>
      <c r="R101" s="2">
        <f t="shared" si="160"/>
        <v>574890.69000000134</v>
      </c>
      <c r="S101" s="2">
        <f t="shared" si="160"/>
        <v>141069498.19000006</v>
      </c>
      <c r="T101" s="2">
        <f t="shared" si="160"/>
        <v>7856682.5201400034</v>
      </c>
      <c r="U101" s="2">
        <f t="shared" si="160"/>
        <v>12861930.84</v>
      </c>
      <c r="V101" s="2">
        <f t="shared" si="160"/>
        <v>186903457.23999977</v>
      </c>
      <c r="W101" s="2">
        <f t="shared" si="160"/>
        <v>105368192</v>
      </c>
      <c r="X101" s="2">
        <f t="shared" si="160"/>
        <v>3597150.6000000015</v>
      </c>
      <c r="Y101" s="2">
        <f t="shared" si="160"/>
        <v>4740352.6400000006</v>
      </c>
      <c r="Z101" s="2">
        <f t="shared" si="160"/>
        <v>113705695.23999995</v>
      </c>
      <c r="AA101" s="2">
        <f t="shared" si="160"/>
        <v>106855054</v>
      </c>
      <c r="AB101" s="2">
        <f t="shared" si="160"/>
        <v>3853561.6999999993</v>
      </c>
      <c r="AC101" s="2">
        <f t="shared" si="160"/>
        <v>8040790.4700000025</v>
      </c>
      <c r="AD101" s="2">
        <f t="shared" si="160"/>
        <v>118749406.17000008</v>
      </c>
      <c r="AE101" s="2">
        <f t="shared" si="160"/>
        <v>29358</v>
      </c>
      <c r="AF101" s="2">
        <f t="shared" si="160"/>
        <v>29045</v>
      </c>
      <c r="AG101" s="2">
        <f t="shared" si="160"/>
        <v>29340</v>
      </c>
      <c r="AH101" s="2">
        <f t="shared" si="160"/>
        <v>29253.666666666686</v>
      </c>
      <c r="AI101" s="2">
        <f t="shared" si="160"/>
        <v>29143.333333333314</v>
      </c>
      <c r="AJ101" s="2">
        <f t="shared" si="160"/>
        <v>2050</v>
      </c>
      <c r="AK101" s="2">
        <f t="shared" si="160"/>
        <v>2055</v>
      </c>
      <c r="AL101" s="2">
        <f t="shared" si="160"/>
        <v>2034</v>
      </c>
      <c r="AM101" s="2">
        <f t="shared" si="160"/>
        <v>2051.666666666667</v>
      </c>
      <c r="AN101" s="2">
        <f t="shared" si="160"/>
        <v>2048.0000000000027</v>
      </c>
      <c r="AO101" s="2">
        <f t="shared" si="160"/>
        <v>2763.2400000000025</v>
      </c>
      <c r="AP101" s="2">
        <f t="shared" si="160"/>
        <v>2774.8099999999977</v>
      </c>
      <c r="AQ101" s="2">
        <f t="shared" si="160"/>
        <v>71340516.389999926</v>
      </c>
      <c r="AR101" s="2">
        <f t="shared" si="160"/>
        <v>72139039.450000018</v>
      </c>
      <c r="AS101" s="2">
        <f t="shared" si="150"/>
        <v>2151.4754536341356</v>
      </c>
      <c r="AT101" s="2">
        <f t="shared" si="151"/>
        <v>2166.4858569896101</v>
      </c>
      <c r="AU101" s="2">
        <f>SUMIF($CE$4:$CE$82,"&gt;=8000",AU$4:AU$82)-AU100</f>
        <v>2008.0000000000009</v>
      </c>
      <c r="AV101" s="2">
        <f>SUMIF($CE$4:$CE$82,"&gt;=8000",AV$4:AV$82)-AV100</f>
        <v>1936.6666666666661</v>
      </c>
      <c r="AW101" s="18">
        <f t="shared" si="152"/>
        <v>6.4232020045849533E-2</v>
      </c>
      <c r="AX101" s="18">
        <f t="shared" si="152"/>
        <v>6.2312312312312337E-2</v>
      </c>
      <c r="AY101" s="2">
        <f>SUMIF($CE$4:$CE$82,"&gt;=8000",AY$4:AY$82)-AY100</f>
        <v>430616.6545571984</v>
      </c>
      <c r="AZ101" s="2">
        <f>SUMIF($CE$4:$CE$82,"&gt;=8000",AZ$4:AZ$82)-AZ100</f>
        <v>309471.08615206205</v>
      </c>
      <c r="BF101" s="2">
        <f>(L101-AY101)/AH101/12</f>
        <v>502.860403981959</v>
      </c>
      <c r="BG101" s="2">
        <f>I101/AH101/12</f>
        <v>391.41788539328383</v>
      </c>
      <c r="BH101" s="2">
        <f>(H101+K101)/AH101/12</f>
        <v>34.323730529506292</v>
      </c>
      <c r="BI101" s="2">
        <f t="shared" si="153"/>
        <v>77.118788059168878</v>
      </c>
      <c r="BJ101" s="2">
        <f>(V101-AZ101)/AI101/12</f>
        <v>533.55251673867042</v>
      </c>
      <c r="BK101" s="2">
        <f>S101/AI101/12</f>
        <v>403.37841184376117</v>
      </c>
      <c r="BL101" s="2">
        <f>(R101+U101)/AI101/12</f>
        <v>38.421655981928431</v>
      </c>
      <c r="BM101" s="2">
        <f t="shared" si="154"/>
        <v>91.75244891298081</v>
      </c>
      <c r="BN101" s="2">
        <f>(L101-AY101-Z101)/AH101/12</f>
        <v>178.9531580526741</v>
      </c>
      <c r="BO101" s="2">
        <f>(W101+Y101)/AH101/12</f>
        <v>313.66023814678482</v>
      </c>
      <c r="BP101" s="2">
        <f t="shared" si="155"/>
        <v>10.247007782500077</v>
      </c>
      <c r="BQ101" s="2">
        <f>(V101-AZ101-AD101)/AI101/12</f>
        <v>193.99685458037189</v>
      </c>
      <c r="BR101" s="2">
        <f>(AA101+AC101)/AI101/12</f>
        <v>328.53667067940086</v>
      </c>
      <c r="BS101" s="2">
        <f t="shared" si="156"/>
        <v>11.018991478897703</v>
      </c>
      <c r="BT101" s="18">
        <f t="shared" si="87"/>
        <v>0.77838279230934759</v>
      </c>
      <c r="BU101" s="18">
        <f t="shared" si="88"/>
        <v>0.75602381994073242</v>
      </c>
      <c r="BV101" s="18">
        <f>(W101+Y101)/(L101-AY101)</f>
        <v>0.62375211025371957</v>
      </c>
      <c r="BW101" s="18">
        <f>(AA101+AC101)/(V101-AZ101)</f>
        <v>0.61575320211696316</v>
      </c>
      <c r="BX101" s="34">
        <f t="shared" si="157"/>
        <v>14.258489033306262</v>
      </c>
      <c r="BY101" s="34">
        <f t="shared" si="157"/>
        <v>14.230143229166638</v>
      </c>
      <c r="BZ101" s="34">
        <f t="shared" si="158"/>
        <v>10.586726692819537</v>
      </c>
      <c r="CA101" s="34">
        <f t="shared" si="159"/>
        <v>10.502821214185238</v>
      </c>
    </row>
    <row r="102" spans="1:79" x14ac:dyDescent="0.35">
      <c r="A102" t="s">
        <v>240</v>
      </c>
      <c r="B102" s="2">
        <f>COUNTIF($CE$4:$CE$82,"&lt;=8000")-B103</f>
        <v>37</v>
      </c>
      <c r="C102" s="2">
        <f t="shared" ref="C102:AR102" si="161">SUMIF($CE$4:$CE$82,"&lt;8000",C$4:C$82)-C103</f>
        <v>3365960.5300000003</v>
      </c>
      <c r="D102" s="2">
        <f t="shared" si="161"/>
        <v>670.24</v>
      </c>
      <c r="E102" s="2">
        <f t="shared" si="161"/>
        <v>376080.81999999995</v>
      </c>
      <c r="F102" s="2">
        <f t="shared" si="161"/>
        <v>24797995.190000005</v>
      </c>
      <c r="G102" s="2">
        <f t="shared" si="161"/>
        <v>5728245.2600000007</v>
      </c>
      <c r="H102" s="2">
        <f t="shared" si="161"/>
        <v>991333.54</v>
      </c>
      <c r="I102" s="2">
        <f t="shared" si="161"/>
        <v>110914165.68000004</v>
      </c>
      <c r="J102" s="2">
        <f t="shared" si="161"/>
        <v>6932026.0165800005</v>
      </c>
      <c r="K102" s="2">
        <f t="shared" si="161"/>
        <v>7940543.7000000002</v>
      </c>
      <c r="L102" s="2">
        <f t="shared" si="161"/>
        <v>141291090.08000001</v>
      </c>
      <c r="M102" s="2">
        <f t="shared" si="161"/>
        <v>4022208.5200000005</v>
      </c>
      <c r="N102" s="2">
        <f t="shared" si="161"/>
        <v>5944.0199999999995</v>
      </c>
      <c r="O102" s="2">
        <f t="shared" si="161"/>
        <v>259683.91</v>
      </c>
      <c r="P102" s="2">
        <f t="shared" si="161"/>
        <v>27750490.500000004</v>
      </c>
      <c r="Q102" s="2">
        <f t="shared" si="161"/>
        <v>5781930.4600000009</v>
      </c>
      <c r="R102" s="2">
        <f t="shared" si="161"/>
        <v>1011576.0399999999</v>
      </c>
      <c r="S102" s="2">
        <f t="shared" si="161"/>
        <v>113753170.49999999</v>
      </c>
      <c r="T102" s="2">
        <f t="shared" si="161"/>
        <v>7163182.4422800029</v>
      </c>
      <c r="U102" s="2">
        <f t="shared" si="161"/>
        <v>8753072.5699999984</v>
      </c>
      <c r="V102" s="2">
        <f t="shared" si="161"/>
        <v>148502955.64999998</v>
      </c>
      <c r="W102" s="2">
        <f t="shared" si="161"/>
        <v>83212338</v>
      </c>
      <c r="X102" s="2">
        <f t="shared" si="161"/>
        <v>3243341.1100000003</v>
      </c>
      <c r="Y102" s="2">
        <f t="shared" si="161"/>
        <v>4710108.290000001</v>
      </c>
      <c r="Z102" s="2">
        <f t="shared" si="161"/>
        <v>91165787.399999991</v>
      </c>
      <c r="AA102" s="2">
        <f t="shared" si="161"/>
        <v>84177560</v>
      </c>
      <c r="AB102" s="2">
        <f t="shared" si="161"/>
        <v>3393225.77</v>
      </c>
      <c r="AC102" s="2">
        <f t="shared" si="161"/>
        <v>7165039.2100000009</v>
      </c>
      <c r="AD102" s="2">
        <f t="shared" si="161"/>
        <v>94735824.980000004</v>
      </c>
      <c r="AE102" s="2">
        <f t="shared" si="161"/>
        <v>21098</v>
      </c>
      <c r="AF102" s="2">
        <f t="shared" si="161"/>
        <v>20880</v>
      </c>
      <c r="AG102" s="2">
        <f t="shared" si="161"/>
        <v>20882</v>
      </c>
      <c r="AH102" s="2">
        <f t="shared" si="161"/>
        <v>21025.333333333332</v>
      </c>
      <c r="AI102" s="2">
        <f t="shared" si="161"/>
        <v>20880.666666666661</v>
      </c>
      <c r="AJ102" s="2">
        <f t="shared" si="161"/>
        <v>1644</v>
      </c>
      <c r="AK102" s="2">
        <f t="shared" si="161"/>
        <v>1652</v>
      </c>
      <c r="AL102" s="2">
        <f t="shared" si="161"/>
        <v>1675</v>
      </c>
      <c r="AM102" s="2">
        <f t="shared" si="161"/>
        <v>1646.6666666666663</v>
      </c>
      <c r="AN102" s="2">
        <f t="shared" si="161"/>
        <v>1659.6666666666665</v>
      </c>
      <c r="AO102" s="2">
        <f t="shared" si="161"/>
        <v>2187.5599999999995</v>
      </c>
      <c r="AP102" s="2">
        <f t="shared" si="161"/>
        <v>2180.04</v>
      </c>
      <c r="AQ102" s="2">
        <f t="shared" si="161"/>
        <v>56636944.74000001</v>
      </c>
      <c r="AR102" s="2">
        <f t="shared" si="161"/>
        <v>57312185.039999999</v>
      </c>
      <c r="AS102" s="2">
        <f t="shared" si="150"/>
        <v>2157.5387166523442</v>
      </c>
      <c r="AT102" s="2">
        <f t="shared" si="151"/>
        <v>2190.7925634392027</v>
      </c>
      <c r="AU102" s="2">
        <f>SUMIF($CE$4:$CE$82,"&lt;8000",AU$4:AU$82)-AU103</f>
        <v>1970.0000000000002</v>
      </c>
      <c r="AV102" s="2">
        <f>SUMIF($CE$4:$CE$82,"&lt;8000",AV$4:AV$82)-AV103</f>
        <v>1704.333333333333</v>
      </c>
      <c r="AW102" s="18">
        <f t="shared" si="152"/>
        <v>8.5669556141825892E-2</v>
      </c>
      <c r="AX102" s="18">
        <f t="shared" si="152"/>
        <v>7.5463065456423895E-2</v>
      </c>
      <c r="AY102" s="2">
        <f>SUMIF($CE$4:$CE$82,"&lt;8000",AY$4:AY$82)-AY103</f>
        <v>1744214.54311279</v>
      </c>
      <c r="AZ102" s="2">
        <f>SUMIF($CE$4:$CE$82,"&lt;8000",AZ$4:AZ$82)-AZ103</f>
        <v>611903.31612698664</v>
      </c>
      <c r="BF102" s="2">
        <f>(L102-AY102)/AH102/12</f>
        <v>553.09022265555529</v>
      </c>
      <c r="BG102" s="2">
        <f>I102/AH102/12</f>
        <v>439.60526063796073</v>
      </c>
      <c r="BH102" s="2">
        <f>(H102+K102)/AH102/12</f>
        <v>35.401251030502884</v>
      </c>
      <c r="BI102" s="2">
        <f t="shared" si="153"/>
        <v>78.083710987091678</v>
      </c>
      <c r="BJ102" s="2">
        <f>(V102-AZ102)/AI102/12</f>
        <v>590.22322217471117</v>
      </c>
      <c r="BK102" s="2">
        <f>S102/AI102/12</f>
        <v>453.98123663037586</v>
      </c>
      <c r="BL102" s="2">
        <f>(R102+U102)/AI102/12</f>
        <v>38.970054476230011</v>
      </c>
      <c r="BM102" s="2">
        <f t="shared" si="154"/>
        <v>97.271931068105289</v>
      </c>
      <c r="BN102" s="2">
        <f>(L102-AY102-Z102)/AH102/12</f>
        <v>191.75711893940343</v>
      </c>
      <c r="BO102" s="2">
        <f>(W102+Y102)/AH102/12</f>
        <v>348.47820997685335</v>
      </c>
      <c r="BP102" s="2">
        <f t="shared" si="155"/>
        <v>12.854893739298518</v>
      </c>
      <c r="BQ102" s="2">
        <f>(V102-AZ102-AD102)/AI102/12</f>
        <v>212.13892976706131</v>
      </c>
      <c r="BR102" s="2">
        <f>(AA102+AC102)/AI102/12</f>
        <v>364.54215705916175</v>
      </c>
      <c r="BS102" s="2">
        <f t="shared" si="156"/>
        <v>13.542135348488102</v>
      </c>
      <c r="BT102" s="18">
        <f t="shared" si="87"/>
        <v>0.79481654643483202</v>
      </c>
      <c r="BU102" s="18">
        <f t="shared" si="88"/>
        <v>0.7691687137582558</v>
      </c>
      <c r="BV102" s="18">
        <f>(W102+Y102)/(L102-AY102)</f>
        <v>0.63005671715493883</v>
      </c>
      <c r="BW102" s="18">
        <f>(AA102+AC102)/(V102-AZ102)</f>
        <v>0.61763438537031001</v>
      </c>
      <c r="BX102" s="34">
        <f t="shared" si="157"/>
        <v>12.768421052631581</v>
      </c>
      <c r="BY102" s="34">
        <f t="shared" si="157"/>
        <v>12.581241213094996</v>
      </c>
      <c r="BZ102" s="34">
        <f t="shared" si="158"/>
        <v>9.61131732767711</v>
      </c>
      <c r="CA102" s="34">
        <f t="shared" si="159"/>
        <v>9.5781117166045853</v>
      </c>
    </row>
    <row r="103" spans="1:79" x14ac:dyDescent="0.35">
      <c r="A103" t="s">
        <v>241</v>
      </c>
      <c r="B103" s="2">
        <f>COUNTIF($CE$4:$CE$82,"&lt;=4000")</f>
        <v>6</v>
      </c>
      <c r="C103" s="2">
        <f t="shared" ref="C103:AR103" si="162">SUMIF($CE$4:$CE$82,"&lt;4000",C$4:C$82)</f>
        <v>124071.51999999999</v>
      </c>
      <c r="D103" s="2">
        <f t="shared" si="162"/>
        <v>0</v>
      </c>
      <c r="E103" s="2">
        <f t="shared" si="162"/>
        <v>14198.560000000001</v>
      </c>
      <c r="F103" s="2">
        <f t="shared" si="162"/>
        <v>890707.53999999992</v>
      </c>
      <c r="G103" s="2">
        <f t="shared" si="162"/>
        <v>163383.10999999999</v>
      </c>
      <c r="H103" s="2">
        <f t="shared" si="162"/>
        <v>0</v>
      </c>
      <c r="I103" s="2">
        <f t="shared" si="162"/>
        <v>4312821.43</v>
      </c>
      <c r="J103" s="2">
        <f t="shared" si="162"/>
        <v>316083.28632000001</v>
      </c>
      <c r="K103" s="2">
        <f t="shared" si="162"/>
        <v>387561.91</v>
      </c>
      <c r="L103" s="2">
        <f t="shared" si="162"/>
        <v>5551779.290000001</v>
      </c>
      <c r="M103" s="2">
        <f t="shared" si="162"/>
        <v>170030.66</v>
      </c>
      <c r="N103" s="2">
        <f t="shared" si="162"/>
        <v>0.01</v>
      </c>
      <c r="O103" s="2">
        <f t="shared" si="162"/>
        <v>25892.85</v>
      </c>
      <c r="P103" s="2">
        <f t="shared" si="162"/>
        <v>1107994.3</v>
      </c>
      <c r="Q103" s="2">
        <f t="shared" si="162"/>
        <v>181326.75999999998</v>
      </c>
      <c r="R103" s="2">
        <f t="shared" si="162"/>
        <v>0</v>
      </c>
      <c r="S103" s="2">
        <f t="shared" si="162"/>
        <v>4482675.29</v>
      </c>
      <c r="T103" s="2">
        <f t="shared" si="162"/>
        <v>329040.03678000002</v>
      </c>
      <c r="U103" s="2">
        <f t="shared" si="162"/>
        <v>370067.05000000005</v>
      </c>
      <c r="V103" s="2">
        <f t="shared" si="162"/>
        <v>5949440.5499999998</v>
      </c>
      <c r="W103" s="2">
        <f t="shared" si="162"/>
        <v>3279787</v>
      </c>
      <c r="X103" s="2">
        <f t="shared" si="162"/>
        <v>158788.45000000001</v>
      </c>
      <c r="Y103" s="2">
        <f t="shared" si="162"/>
        <v>182238.55</v>
      </c>
      <c r="Z103" s="2">
        <f t="shared" si="162"/>
        <v>3620814</v>
      </c>
      <c r="AA103" s="2">
        <f t="shared" si="162"/>
        <v>3328183</v>
      </c>
      <c r="AB103" s="2">
        <f t="shared" si="162"/>
        <v>226526.1</v>
      </c>
      <c r="AC103" s="2">
        <f t="shared" si="162"/>
        <v>410298.62</v>
      </c>
      <c r="AD103" s="2">
        <f t="shared" si="162"/>
        <v>3965007.72</v>
      </c>
      <c r="AE103" s="2">
        <f t="shared" si="162"/>
        <v>649</v>
      </c>
      <c r="AF103" s="2">
        <f t="shared" si="162"/>
        <v>633</v>
      </c>
      <c r="AG103" s="2">
        <f t="shared" si="162"/>
        <v>620</v>
      </c>
      <c r="AH103" s="2">
        <f t="shared" si="162"/>
        <v>643.66666666666674</v>
      </c>
      <c r="AI103" s="2">
        <f t="shared" si="162"/>
        <v>628.66666666666663</v>
      </c>
      <c r="AJ103" s="2">
        <f t="shared" si="162"/>
        <v>72</v>
      </c>
      <c r="AK103" s="2">
        <f t="shared" si="162"/>
        <v>66</v>
      </c>
      <c r="AL103" s="2">
        <f t="shared" si="162"/>
        <v>62</v>
      </c>
      <c r="AM103" s="2">
        <f t="shared" si="162"/>
        <v>70</v>
      </c>
      <c r="AN103" s="2">
        <f t="shared" si="162"/>
        <v>64.666666666666657</v>
      </c>
      <c r="AO103" s="2">
        <f t="shared" si="162"/>
        <v>89.61</v>
      </c>
      <c r="AP103" s="2">
        <f t="shared" si="162"/>
        <v>93.259999999999991</v>
      </c>
      <c r="AQ103" s="2">
        <f t="shared" si="162"/>
        <v>2132706.5700000003</v>
      </c>
      <c r="AR103" s="2">
        <f t="shared" si="162"/>
        <v>2189528.3000000003</v>
      </c>
      <c r="AS103" s="2">
        <f t="shared" ref="AS103" si="163">AQ103/AO103/12</f>
        <v>1983.322703939293</v>
      </c>
      <c r="AT103" s="2">
        <f t="shared" ref="AT103" si="164">AR103/AP103/12</f>
        <v>1956.4732110944317</v>
      </c>
      <c r="AU103" s="2">
        <f>SUMIF($CE$4:$CE$82,"&lt;4000",AU$4:AU$82)</f>
        <v>55.666666666666671</v>
      </c>
      <c r="AV103" s="2">
        <f>SUMIF($CE$4:$CE$82,"&lt;4000",AV$4:AV$82)</f>
        <v>20</v>
      </c>
      <c r="AW103" s="18">
        <f t="shared" si="152"/>
        <v>7.9599618684461387E-2</v>
      </c>
      <c r="AX103" s="18">
        <f t="shared" si="152"/>
        <v>3.0832476875642344E-2</v>
      </c>
      <c r="AY103" s="2">
        <f>SUMIF($CE$4:$CE$82,"&lt;4000",AY$4:AY$82)</f>
        <v>239302.67183850723</v>
      </c>
      <c r="AZ103" s="2">
        <f>SUMIF($CE$4:$CE$82,"&lt;4000",AZ$4:AZ$82)</f>
        <v>8242.2148997260265</v>
      </c>
      <c r="BF103" s="2">
        <f>(L103-AY103)/AH103/12</f>
        <v>687.78827267756253</v>
      </c>
      <c r="BG103" s="2">
        <f>I103/AH103/12</f>
        <v>558.36631667529764</v>
      </c>
      <c r="BH103" s="2">
        <f>(H103+K103)/AH103/12</f>
        <v>50.176321853961667</v>
      </c>
      <c r="BI103" s="2">
        <f t="shared" si="153"/>
        <v>79.245634148303225</v>
      </c>
      <c r="BJ103" s="2">
        <f>(V103-AZ103)/AI103/12</f>
        <v>787.53954601011048</v>
      </c>
      <c r="BK103" s="2">
        <f>S103/AI103/12</f>
        <v>594.20404162248144</v>
      </c>
      <c r="BL103" s="2">
        <f>(R103+U103)/AI103/12</f>
        <v>49.054487009544012</v>
      </c>
      <c r="BM103" s="2">
        <f t="shared" si="154"/>
        <v>144.28101737808504</v>
      </c>
      <c r="BN103" s="2">
        <f>(L103-AY103-Z103)/AH103/12</f>
        <v>219.01380349061287</v>
      </c>
      <c r="BO103" s="2">
        <f>(W103+Y103)/AH103/12</f>
        <v>448.21666882444316</v>
      </c>
      <c r="BP103" s="2">
        <f t="shared" ref="BP103" si="165">BF103-BN103-BO103</f>
        <v>20.557800362506498</v>
      </c>
      <c r="BQ103" s="2">
        <f>(V103-AZ103-AD103)/AI103/12</f>
        <v>261.95527771742758</v>
      </c>
      <c r="BR103" s="2">
        <f>(AA103+AC103)/AI103/12</f>
        <v>495.55694856839881</v>
      </c>
      <c r="BS103" s="2">
        <f t="shared" ref="BS103" si="166">BJ103-BQ103-BR103</f>
        <v>30.027319724284155</v>
      </c>
      <c r="BT103" s="18">
        <f t="shared" si="87"/>
        <v>0.8118287834446134</v>
      </c>
      <c r="BU103" s="18">
        <f t="shared" si="88"/>
        <v>0.75450692556695176</v>
      </c>
      <c r="BV103" s="18">
        <f>(W103+Y103)/(L103-AY103)</f>
        <v>0.65167826587030031</v>
      </c>
      <c r="BW103" s="18">
        <f>(AA103+AC103)/(V103-AZ103)</f>
        <v>0.6292470658508833</v>
      </c>
      <c r="BX103" s="34">
        <f t="shared" si="157"/>
        <v>9.1952380952380963</v>
      </c>
      <c r="BY103" s="34">
        <f t="shared" si="157"/>
        <v>9.7216494845360835</v>
      </c>
      <c r="BZ103" s="34">
        <f t="shared" si="158"/>
        <v>7.182978090242905</v>
      </c>
      <c r="CA103" s="34">
        <f t="shared" si="159"/>
        <v>6.7410107941954394</v>
      </c>
    </row>
    <row r="104" spans="1:79" x14ac:dyDescent="0.35">
      <c r="AS104" s="2"/>
      <c r="AT104" s="2"/>
      <c r="BE104" t="s">
        <v>246</v>
      </c>
      <c r="BF104" s="44">
        <f>BF103/BF100</f>
        <v>1.6631750081717529</v>
      </c>
      <c r="BG104" s="44">
        <f t="shared" ref="BG104:BS104" si="167">BG103/BG100</f>
        <v>1.7420389502951057</v>
      </c>
      <c r="BH104" s="44">
        <f t="shared" si="167"/>
        <v>1.4877550281641598</v>
      </c>
      <c r="BI104" s="44">
        <f t="shared" si="167"/>
        <v>1.336609646420839</v>
      </c>
      <c r="BJ104" s="44">
        <f t="shared" si="167"/>
        <v>1.7630549325759071</v>
      </c>
      <c r="BK104" s="44">
        <f t="shared" si="167"/>
        <v>1.748053868647675</v>
      </c>
      <c r="BL104" s="44">
        <f t="shared" si="167"/>
        <v>1.3630881490434397</v>
      </c>
      <c r="BM104" s="44">
        <f t="shared" si="167"/>
        <v>2.0384617377411232</v>
      </c>
      <c r="BN104" s="44">
        <f t="shared" si="167"/>
        <v>1.6223440087234335</v>
      </c>
      <c r="BO104" s="44">
        <f t="shared" si="167"/>
        <v>1.668953091229932</v>
      </c>
      <c r="BP104" s="44">
        <f t="shared" si="167"/>
        <v>2.0600281252852439</v>
      </c>
      <c r="BQ104" s="44">
        <f t="shared" si="167"/>
        <v>1.7306466935123148</v>
      </c>
      <c r="BR104" s="44">
        <f t="shared" si="167"/>
        <v>1.739967829627884</v>
      </c>
      <c r="BS104" s="44">
        <f t="shared" si="167"/>
        <v>2.8544325270104682</v>
      </c>
      <c r="BT104" s="18"/>
      <c r="BU104" s="18"/>
      <c r="BV104" s="44"/>
      <c r="BW104" s="44"/>
      <c r="BX104" s="34"/>
      <c r="BY104" s="44">
        <f>BY100/BY103</f>
        <v>1.9523060218999848</v>
      </c>
      <c r="BZ104" s="44"/>
      <c r="CA104" s="44"/>
    </row>
    <row r="106" spans="1:79" x14ac:dyDescent="0.35">
      <c r="A106" s="1" t="s">
        <v>276</v>
      </c>
    </row>
    <row r="107" spans="1:79" x14ac:dyDescent="0.35">
      <c r="A107" t="s">
        <v>280</v>
      </c>
      <c r="B107" s="2">
        <f>COUNTIF($BJ$4:$BJ$82,"&gt;650")</f>
        <v>22</v>
      </c>
      <c r="C107" s="2">
        <f t="shared" ref="C107:AN107" si="168">SUMIF($BJ$4:$BJ$82,"&gt;=650",C$4:C$82)</f>
        <v>1719209.03</v>
      </c>
      <c r="D107" s="2">
        <f t="shared" si="168"/>
        <v>3737.9900000000002</v>
      </c>
      <c r="E107" s="2">
        <f t="shared" si="168"/>
        <v>72095.11</v>
      </c>
      <c r="F107" s="2">
        <f t="shared" si="168"/>
        <v>13178936.740000004</v>
      </c>
      <c r="G107" s="2">
        <f t="shared" si="168"/>
        <v>3291892.9600000009</v>
      </c>
      <c r="H107" s="2">
        <f t="shared" si="168"/>
        <v>125207.42</v>
      </c>
      <c r="I107" s="2">
        <f t="shared" si="168"/>
        <v>57870500.909999996</v>
      </c>
      <c r="J107" s="2">
        <f t="shared" si="168"/>
        <v>3852001.8105600006</v>
      </c>
      <c r="K107" s="2">
        <f t="shared" si="168"/>
        <v>4326871.8899999997</v>
      </c>
      <c r="L107" s="2">
        <f t="shared" si="168"/>
        <v>73807363.599999994</v>
      </c>
      <c r="M107" s="2">
        <f t="shared" si="168"/>
        <v>2251726.5699999998</v>
      </c>
      <c r="N107" s="2">
        <f t="shared" si="168"/>
        <v>-196.27999999999994</v>
      </c>
      <c r="O107" s="2">
        <f t="shared" si="168"/>
        <v>179199.39</v>
      </c>
      <c r="P107" s="2">
        <f t="shared" si="168"/>
        <v>15596773.110000001</v>
      </c>
      <c r="Q107" s="2">
        <f t="shared" si="168"/>
        <v>3276317.33</v>
      </c>
      <c r="R107" s="2">
        <f t="shared" si="168"/>
        <v>111021.1</v>
      </c>
      <c r="S107" s="2">
        <f t="shared" si="168"/>
        <v>59329493.190000005</v>
      </c>
      <c r="T107" s="2">
        <f t="shared" si="168"/>
        <v>3855698.2228799998</v>
      </c>
      <c r="U107" s="2">
        <f t="shared" si="168"/>
        <v>6223663.9900000002</v>
      </c>
      <c r="V107" s="2">
        <f t="shared" si="168"/>
        <v>80125143.25</v>
      </c>
      <c r="W107" s="2">
        <f t="shared" si="168"/>
        <v>41716518</v>
      </c>
      <c r="X107" s="2">
        <f t="shared" si="168"/>
        <v>1748618.1599999997</v>
      </c>
      <c r="Y107" s="2">
        <f t="shared" si="168"/>
        <v>3258448.5200000005</v>
      </c>
      <c r="Z107" s="2">
        <f t="shared" si="168"/>
        <v>46723584.679999992</v>
      </c>
      <c r="AA107" s="2">
        <f t="shared" si="168"/>
        <v>41502702</v>
      </c>
      <c r="AB107" s="2">
        <f t="shared" si="168"/>
        <v>1806670.6400000001</v>
      </c>
      <c r="AC107" s="2">
        <f t="shared" si="168"/>
        <v>4897373.12</v>
      </c>
      <c r="AD107" s="2">
        <f t="shared" si="168"/>
        <v>48206745.760000005</v>
      </c>
      <c r="AE107" s="2">
        <f t="shared" si="168"/>
        <v>9463</v>
      </c>
      <c r="AF107" s="2">
        <f t="shared" si="168"/>
        <v>9158</v>
      </c>
      <c r="AG107" s="2">
        <f t="shared" si="168"/>
        <v>9170</v>
      </c>
      <c r="AH107" s="2">
        <f t="shared" si="168"/>
        <v>9361.3333333333321</v>
      </c>
      <c r="AI107" s="2">
        <f t="shared" si="168"/>
        <v>9162</v>
      </c>
      <c r="AJ107" s="2">
        <f t="shared" si="168"/>
        <v>897</v>
      </c>
      <c r="AK107" s="2">
        <f t="shared" si="168"/>
        <v>876</v>
      </c>
      <c r="AL107" s="2">
        <f t="shared" si="168"/>
        <v>867</v>
      </c>
      <c r="AM107" s="2">
        <f t="shared" si="168"/>
        <v>890</v>
      </c>
      <c r="AN107" s="2">
        <f t="shared" si="168"/>
        <v>873.00000000000011</v>
      </c>
      <c r="AO107" s="2">
        <f t="shared" ref="AO107:AR107" si="169">SUMIF($BJ$4:$BJ$82,"&gt;=650",AO$4:AO$82)</f>
        <v>1100.51</v>
      </c>
      <c r="AP107" s="2">
        <f t="shared" si="169"/>
        <v>1115.7700000000002</v>
      </c>
      <c r="AQ107" s="2">
        <f t="shared" si="169"/>
        <v>28639036.140000001</v>
      </c>
      <c r="AR107" s="2">
        <f t="shared" si="169"/>
        <v>28835567.840000004</v>
      </c>
      <c r="AS107" s="2">
        <f t="shared" ref="AS107:AS110" si="170">AQ107/AO107/12</f>
        <v>2168.6184996047286</v>
      </c>
      <c r="AT107" s="2">
        <f t="shared" ref="AT107:AT110" si="171">AR107/AP107/12</f>
        <v>2153.6373864386628</v>
      </c>
      <c r="AU107" s="2">
        <f>SUMIF($BJ$4:$BJ$82,"&gt;=650",AU$4:AU$82)</f>
        <v>1399.3333333333335</v>
      </c>
      <c r="AV107" s="2">
        <f>SUMIF($BJ$4:$BJ$82,"&gt;=650",AV$4:AV$82)</f>
        <v>1001.6666666666665</v>
      </c>
      <c r="AW107" s="18">
        <f t="shared" ref="AW107:AX110" si="172">AU107/(AH107+AU107)</f>
        <v>0.13004150920017349</v>
      </c>
      <c r="AX107" s="18">
        <f t="shared" si="172"/>
        <v>9.855367157521891E-2</v>
      </c>
      <c r="AY107" s="2">
        <f t="shared" ref="AY107:BE107" si="173">SUMIF($BJ$4:$BJ$82,"&gt;=650",AY$4:AY$82)</f>
        <v>1305186.9033104244</v>
      </c>
      <c r="AZ107" s="2">
        <f t="shared" si="173"/>
        <v>166380.32388009102</v>
      </c>
      <c r="BA107" s="2">
        <f t="shared" si="173"/>
        <v>0</v>
      </c>
      <c r="BB107" s="2">
        <f t="shared" si="173"/>
        <v>0</v>
      </c>
      <c r="BC107" s="2">
        <f t="shared" si="173"/>
        <v>0</v>
      </c>
      <c r="BD107" s="2">
        <f t="shared" si="173"/>
        <v>0</v>
      </c>
      <c r="BE107" s="2">
        <f t="shared" si="173"/>
        <v>0</v>
      </c>
      <c r="BF107" s="2">
        <f>(L107-AY107)/AH107/12</f>
        <v>645.40464941505468</v>
      </c>
      <c r="BG107" s="2">
        <f>I107/AH107/12</f>
        <v>515.15543467810858</v>
      </c>
      <c r="BH107" s="2">
        <f>(H107+K107)/AH107/12</f>
        <v>39.631812686939185</v>
      </c>
      <c r="BI107" s="2">
        <f t="shared" ref="BI107" si="174">BF107-BG107-BH107</f>
        <v>90.617402050006916</v>
      </c>
      <c r="BJ107" s="2">
        <f>(V107-AZ107)/AI107/12</f>
        <v>727.26809035618044</v>
      </c>
      <c r="BK107" s="2">
        <f>S107/AI107/12</f>
        <v>539.63375163719718</v>
      </c>
      <c r="BL107" s="2">
        <f>(R107+U107)/AI107/12</f>
        <v>57.617378756457832</v>
      </c>
      <c r="BM107" s="2">
        <f t="shared" ref="BM107" si="175">BJ107-BK107-BL107</f>
        <v>130.01695996252542</v>
      </c>
      <c r="BN107" s="2">
        <f>(L107-AY107-Z107)/AH107/12</f>
        <v>229.47756744667413</v>
      </c>
      <c r="BO107" s="2">
        <f>(W107+Y107)/AH107/12</f>
        <v>400.36111771827382</v>
      </c>
      <c r="BP107" s="2">
        <f t="shared" ref="BP107" si="176">BF107-BN107-BO107</f>
        <v>15.565964250106731</v>
      </c>
      <c r="BQ107" s="2">
        <f>(V107-AZ107-AD107)/AI107/12</f>
        <v>288.80172784435626</v>
      </c>
      <c r="BR107" s="2">
        <f>(AA107+AC107)/AI107/12</f>
        <v>422.03371825656694</v>
      </c>
      <c r="BS107" s="2">
        <f t="shared" ref="BS107" si="177">BJ107-BQ107-BR107</f>
        <v>16.43264425525723</v>
      </c>
      <c r="BT107" s="18">
        <f t="shared" ref="BT107" si="178">BG107/BF107</f>
        <v>0.79818984128020454</v>
      </c>
      <c r="BU107" s="18">
        <f t="shared" ref="BU107" si="179">BK107/BJ107</f>
        <v>0.7420011393225171</v>
      </c>
      <c r="BV107" s="18">
        <f>(W107+Y107)/(L107-AY107)</f>
        <v>0.62032574150361397</v>
      </c>
      <c r="BW107" s="18">
        <f>(AA107+AC107)/(V107-AZ107)</f>
        <v>0.58030006245685195</v>
      </c>
      <c r="BX107" s="34">
        <f t="shared" ref="BX107:BY110" si="180">AH107/AM107</f>
        <v>10.518352059925093</v>
      </c>
      <c r="BY107" s="34">
        <f t="shared" si="180"/>
        <v>10.494845360824741</v>
      </c>
      <c r="BZ107" s="34">
        <f t="shared" ref="BZ107:BZ110" si="181">AH107/AO107</f>
        <v>8.5063591728683363</v>
      </c>
      <c r="CA107" s="34">
        <f t="shared" ref="CA107:CA110" si="182">AI107/AP107</f>
        <v>8.2113697267357946</v>
      </c>
    </row>
    <row r="108" spans="1:79" x14ac:dyDescent="0.35">
      <c r="A108" t="s">
        <v>273</v>
      </c>
      <c r="B108" s="2">
        <f>COUNTIF($BJ$4:$BJ$82,"&gt;=550")-B107</f>
        <v>21</v>
      </c>
      <c r="C108" s="2">
        <f t="shared" ref="C108:AN108" si="183">SUMIF($BJ$4:$BJ$82,"&gt;=550",C$4:C$82)-C107</f>
        <v>2545027.6999999993</v>
      </c>
      <c r="D108" s="2">
        <f t="shared" si="183"/>
        <v>1509.0499999999997</v>
      </c>
      <c r="E108" s="2">
        <f t="shared" si="183"/>
        <v>208641.34999999998</v>
      </c>
      <c r="F108" s="2">
        <f t="shared" si="183"/>
        <v>17879145.660000011</v>
      </c>
      <c r="G108" s="2">
        <f t="shared" si="183"/>
        <v>3131238.7499999991</v>
      </c>
      <c r="H108" s="2">
        <f t="shared" si="183"/>
        <v>103971.51000000002</v>
      </c>
      <c r="I108" s="2">
        <f t="shared" si="183"/>
        <v>91045117.130000055</v>
      </c>
      <c r="J108" s="2">
        <f t="shared" si="183"/>
        <v>5777544.4642200023</v>
      </c>
      <c r="K108" s="2">
        <f t="shared" si="183"/>
        <v>8166491.2599999988</v>
      </c>
      <c r="L108" s="2">
        <f t="shared" si="183"/>
        <v>116506052.05000001</v>
      </c>
      <c r="M108" s="2">
        <f t="shared" si="183"/>
        <v>3056445.2900000014</v>
      </c>
      <c r="N108" s="2">
        <f t="shared" si="183"/>
        <v>6875.0999999999995</v>
      </c>
      <c r="O108" s="2">
        <f t="shared" si="183"/>
        <v>207756.89999999997</v>
      </c>
      <c r="P108" s="2">
        <f t="shared" si="183"/>
        <v>20023473.5</v>
      </c>
      <c r="Q108" s="2">
        <f t="shared" si="183"/>
        <v>3243006.0700000003</v>
      </c>
      <c r="R108" s="2">
        <f t="shared" si="183"/>
        <v>59882.320000000007</v>
      </c>
      <c r="S108" s="2">
        <f t="shared" si="183"/>
        <v>93778245.659999967</v>
      </c>
      <c r="T108" s="2">
        <f t="shared" si="183"/>
        <v>5967533.6939399987</v>
      </c>
      <c r="U108" s="2">
        <f t="shared" si="183"/>
        <v>8007108.2700000014</v>
      </c>
      <c r="V108" s="2">
        <f t="shared" si="183"/>
        <v>121629141.74999997</v>
      </c>
      <c r="W108" s="2">
        <f t="shared" si="183"/>
        <v>69203499</v>
      </c>
      <c r="X108" s="2">
        <f t="shared" si="183"/>
        <v>2055639.2000000007</v>
      </c>
      <c r="Y108" s="2">
        <f t="shared" si="183"/>
        <v>3301836.2399999984</v>
      </c>
      <c r="Z108" s="2">
        <f t="shared" si="183"/>
        <v>74560974.440000013</v>
      </c>
      <c r="AA108" s="2">
        <f t="shared" si="183"/>
        <v>70416120</v>
      </c>
      <c r="AB108" s="2">
        <f t="shared" si="183"/>
        <v>2239785.54</v>
      </c>
      <c r="AC108" s="2">
        <f t="shared" si="183"/>
        <v>5396460.0199999986</v>
      </c>
      <c r="AD108" s="2">
        <f t="shared" si="183"/>
        <v>78052365.560000002</v>
      </c>
      <c r="AE108" s="2">
        <f t="shared" si="183"/>
        <v>17417</v>
      </c>
      <c r="AF108" s="2">
        <f t="shared" si="183"/>
        <v>17335</v>
      </c>
      <c r="AG108" s="2">
        <f t="shared" si="183"/>
        <v>17209</v>
      </c>
      <c r="AH108" s="2">
        <f t="shared" si="183"/>
        <v>17389.666666666664</v>
      </c>
      <c r="AI108" s="2">
        <f t="shared" si="183"/>
        <v>17293</v>
      </c>
      <c r="AJ108" s="2">
        <f t="shared" si="183"/>
        <v>1344</v>
      </c>
      <c r="AK108" s="2">
        <f t="shared" si="183"/>
        <v>1365</v>
      </c>
      <c r="AL108" s="2">
        <f t="shared" si="183"/>
        <v>1354</v>
      </c>
      <c r="AM108" s="2">
        <f t="shared" si="183"/>
        <v>1351.0000000000005</v>
      </c>
      <c r="AN108" s="2">
        <f t="shared" si="183"/>
        <v>1361.3333333333335</v>
      </c>
      <c r="AO108" s="2">
        <f t="shared" ref="AO108:AR108" si="184">SUMIF($BJ$4:$BJ$82,"&gt;=550",AO$4:AO$82)-AO107</f>
        <v>1865.03</v>
      </c>
      <c r="AP108" s="2">
        <f t="shared" si="184"/>
        <v>1843.0599999999988</v>
      </c>
      <c r="AQ108" s="2">
        <f t="shared" si="184"/>
        <v>46446215.180000022</v>
      </c>
      <c r="AR108" s="2">
        <f t="shared" si="184"/>
        <v>46889085.429999992</v>
      </c>
      <c r="AS108" s="2">
        <f t="shared" si="170"/>
        <v>2075.3113524536702</v>
      </c>
      <c r="AT108" s="2">
        <f t="shared" si="171"/>
        <v>2120.0741081860251</v>
      </c>
      <c r="AU108" s="2">
        <f>SUMIF($BJ$4:$BJ$82,"&gt;=550",AU$4:AU$82)-AU107</f>
        <v>1487</v>
      </c>
      <c r="AV108" s="2">
        <f>SUMIF($BJ$4:$BJ$82,"&gt;=550",AV$4:AV$82)-AV107</f>
        <v>1477.0000000000005</v>
      </c>
      <c r="AW108" s="18">
        <f t="shared" si="172"/>
        <v>7.8774501147801532E-2</v>
      </c>
      <c r="AX108" s="18">
        <f t="shared" si="172"/>
        <v>7.8689397975492834E-2</v>
      </c>
      <c r="AY108" s="2">
        <f t="shared" ref="AY108:BE108" si="185">SUMIF($BJ$4:$BJ$82,"&gt;=550",AY$4:AY$82)-AY107</f>
        <v>859814.53795827669</v>
      </c>
      <c r="AZ108" s="2">
        <f t="shared" si="185"/>
        <v>529537.5422567029</v>
      </c>
      <c r="BA108" s="2">
        <f t="shared" si="185"/>
        <v>0</v>
      </c>
      <c r="BB108" s="2">
        <f t="shared" si="185"/>
        <v>0</v>
      </c>
      <c r="BC108" s="2">
        <f t="shared" si="185"/>
        <v>0</v>
      </c>
      <c r="BD108" s="2">
        <f t="shared" si="185"/>
        <v>0</v>
      </c>
      <c r="BE108" s="2">
        <f t="shared" si="185"/>
        <v>0</v>
      </c>
      <c r="BF108" s="2">
        <f>(L108-AY108)/AH108/12</f>
        <v>554.1904076752561</v>
      </c>
      <c r="BG108" s="2">
        <f>I108/AH108/12</f>
        <v>436.29893773122006</v>
      </c>
      <c r="BH108" s="2">
        <f>(H108+K108)/AH108/12</f>
        <v>39.633032883513195</v>
      </c>
      <c r="BI108" s="2">
        <f t="shared" ref="BI108:BI110" si="186">BF108-BG108-BH108</f>
        <v>78.258437060522837</v>
      </c>
      <c r="BJ108" s="2">
        <f>(V108-AZ108)/AI108/12</f>
        <v>583.56755241881717</v>
      </c>
      <c r="BK108" s="2">
        <f>S108/AI108/12</f>
        <v>451.908506621176</v>
      </c>
      <c r="BL108" s="2">
        <f>(R108+U108)/AI108/12</f>
        <v>38.874065566028655</v>
      </c>
      <c r="BM108" s="2">
        <f t="shared" ref="BM108:BM110" si="187">BJ108-BK108-BL108</f>
        <v>92.784980231612508</v>
      </c>
      <c r="BN108" s="2">
        <f>(L108-AY108-Z108)/AH108/12</f>
        <v>196.88542559777704</v>
      </c>
      <c r="BO108" s="2">
        <f>(W108+Y108)/AH108/12</f>
        <v>347.45411662098178</v>
      </c>
      <c r="BP108" s="2">
        <f t="shared" ref="BP108:BP110" si="188">BF108-BN108-BO108</f>
        <v>9.8508654564972744</v>
      </c>
      <c r="BQ108" s="2">
        <f>(V108-AZ108-AD108)/AI108/12</f>
        <v>207.4405763784155</v>
      </c>
      <c r="BR108" s="2">
        <f>(AA108+AC108)/AI108/12</f>
        <v>365.33366111528744</v>
      </c>
      <c r="BS108" s="2">
        <f t="shared" ref="BS108:BS110" si="189">BJ108-BQ108-BR108</f>
        <v>10.793314925114259</v>
      </c>
      <c r="BT108" s="18">
        <f t="shared" ref="BT108:BT110" si="190">BG108/BF108</f>
        <v>0.78727262631886263</v>
      </c>
      <c r="BU108" s="18">
        <f t="shared" ref="BU108:BU110" si="191">BK108/BJ108</f>
        <v>0.77438936546089598</v>
      </c>
      <c r="BV108" s="18">
        <f>(W108+Y108)/(L108-AY108)</f>
        <v>0.62695801264135664</v>
      </c>
      <c r="BW108" s="18">
        <f>(AA108+AC108)/(V108-AZ108)</f>
        <v>0.62603491164137459</v>
      </c>
      <c r="BX108" s="34">
        <f t="shared" si="180"/>
        <v>12.871699975326912</v>
      </c>
      <c r="BY108" s="34">
        <f t="shared" si="180"/>
        <v>12.702987267384914</v>
      </c>
      <c r="BZ108" s="34">
        <f t="shared" si="181"/>
        <v>9.324068066822873</v>
      </c>
      <c r="CA108" s="34">
        <f t="shared" si="182"/>
        <v>9.3827656180482517</v>
      </c>
    </row>
    <row r="109" spans="1:79" x14ac:dyDescent="0.35">
      <c r="A109" t="s">
        <v>279</v>
      </c>
      <c r="B109" s="2">
        <f>COUNTIF($BJ$4:$BJ$82,"&lt;550")-B110</f>
        <v>27</v>
      </c>
      <c r="C109" s="2">
        <f t="shared" ref="C109:AN109" si="192">SUMIF($BJ$4:$BJ$82,"&lt;550",C$4:C$82)-C110</f>
        <v>5916423.9600000046</v>
      </c>
      <c r="D109" s="2">
        <f t="shared" si="192"/>
        <v>5046.4799999999959</v>
      </c>
      <c r="E109" s="2">
        <f t="shared" si="192"/>
        <v>972475.91000000015</v>
      </c>
      <c r="F109" s="2">
        <f t="shared" si="192"/>
        <v>42112387.530000053</v>
      </c>
      <c r="G109" s="2">
        <f t="shared" si="192"/>
        <v>9766783.1799999997</v>
      </c>
      <c r="H109" s="2">
        <f t="shared" si="192"/>
        <v>2917531.5600000024</v>
      </c>
      <c r="I109" s="2">
        <f t="shared" si="192"/>
        <v>178951713.20999998</v>
      </c>
      <c r="J109" s="2">
        <f t="shared" si="192"/>
        <v>9308902.6161600016</v>
      </c>
      <c r="K109" s="2">
        <f t="shared" si="192"/>
        <v>13360728.930000007</v>
      </c>
      <c r="L109" s="2">
        <f t="shared" si="192"/>
        <v>230579516.92999995</v>
      </c>
      <c r="M109" s="2">
        <f t="shared" si="192"/>
        <v>7142721.1800000034</v>
      </c>
      <c r="N109" s="2">
        <f t="shared" si="192"/>
        <v>13622.569999999998</v>
      </c>
      <c r="O109" s="2">
        <f t="shared" si="192"/>
        <v>284308.16999999993</v>
      </c>
      <c r="P109" s="2">
        <f t="shared" si="192"/>
        <v>47039766.420000032</v>
      </c>
      <c r="Q109" s="2">
        <f t="shared" si="192"/>
        <v>10116907.450000003</v>
      </c>
      <c r="R109" s="2">
        <f t="shared" si="192"/>
        <v>2935395.51</v>
      </c>
      <c r="S109" s="2">
        <f t="shared" si="192"/>
        <v>183027814.83000004</v>
      </c>
      <c r="T109" s="2">
        <f t="shared" si="192"/>
        <v>9389931.9229199998</v>
      </c>
      <c r="U109" s="2">
        <f t="shared" si="192"/>
        <v>14498080.519999996</v>
      </c>
      <c r="V109" s="2">
        <f t="shared" si="192"/>
        <v>241605098.06999999</v>
      </c>
      <c r="W109" s="2">
        <f t="shared" si="192"/>
        <v>132427162</v>
      </c>
      <c r="X109" s="2">
        <f t="shared" si="192"/>
        <v>3514644.1999999993</v>
      </c>
      <c r="Y109" s="2">
        <f t="shared" si="192"/>
        <v>9557495.1800000034</v>
      </c>
      <c r="Z109" s="2">
        <f t="shared" si="192"/>
        <v>145499301.37999994</v>
      </c>
      <c r="AA109" s="2">
        <f t="shared" si="192"/>
        <v>133128744</v>
      </c>
      <c r="AB109" s="2">
        <f t="shared" si="192"/>
        <v>3679029.42</v>
      </c>
      <c r="AC109" s="2">
        <f t="shared" si="192"/>
        <v>14190926.119999997</v>
      </c>
      <c r="AD109" s="2">
        <f t="shared" si="192"/>
        <v>150998699.54000014</v>
      </c>
      <c r="AE109" s="2">
        <f t="shared" si="192"/>
        <v>42239</v>
      </c>
      <c r="AF109" s="2">
        <f t="shared" si="192"/>
        <v>39853</v>
      </c>
      <c r="AG109" s="2">
        <f t="shared" si="192"/>
        <v>40091</v>
      </c>
      <c r="AH109" s="2">
        <f t="shared" si="192"/>
        <v>41443.666666666672</v>
      </c>
      <c r="AI109" s="2">
        <f t="shared" si="192"/>
        <v>39932.333333333328</v>
      </c>
      <c r="AJ109" s="2">
        <f t="shared" si="192"/>
        <v>2619</v>
      </c>
      <c r="AK109" s="2">
        <f t="shared" si="192"/>
        <v>2542</v>
      </c>
      <c r="AL109" s="2">
        <f t="shared" si="192"/>
        <v>2565</v>
      </c>
      <c r="AM109" s="2">
        <f t="shared" si="192"/>
        <v>2593.3333333333321</v>
      </c>
      <c r="AN109" s="2">
        <f t="shared" si="192"/>
        <v>2549.6666666666692</v>
      </c>
      <c r="AO109" s="2">
        <f t="shared" ref="AO109:AR109" si="193">SUMIF($BJ$4:$BJ$82,"&lt;550",AO$4:AO$82)-AO110</f>
        <v>3362.1900000000041</v>
      </c>
      <c r="AP109" s="2">
        <f t="shared" si="193"/>
        <v>3359.3199999999979</v>
      </c>
      <c r="AQ109" s="2">
        <f t="shared" si="193"/>
        <v>92390216.589999914</v>
      </c>
      <c r="AR109" s="2">
        <f t="shared" si="193"/>
        <v>92844984.820000023</v>
      </c>
      <c r="AS109" s="2">
        <f t="shared" si="170"/>
        <v>2289.9314779454212</v>
      </c>
      <c r="AT109" s="2">
        <f t="shared" si="171"/>
        <v>2303.1691140865828</v>
      </c>
      <c r="AU109" s="2">
        <f>SUMIF($BJ$4:$BJ$82,"&lt;550",AU$4:AU$82)-AU110</f>
        <v>2046.0000000000002</v>
      </c>
      <c r="AV109" s="2">
        <f>SUMIF($BJ$4:$BJ$82,"&lt;550",AV$4:AV$82)-AV110</f>
        <v>2097.333333333333</v>
      </c>
      <c r="AW109" s="18">
        <f t="shared" si="172"/>
        <v>4.7045658355624707E-2</v>
      </c>
      <c r="AX109" s="18">
        <f t="shared" si="172"/>
        <v>4.9901260220955035E-2</v>
      </c>
      <c r="AY109" s="2">
        <f t="shared" ref="AY109:BE109" si="194">SUMIF($BJ$4:$BJ$82,"&lt;550",AY$4:AY$82)-AY110</f>
        <v>428897.39927375683</v>
      </c>
      <c r="AZ109" s="2">
        <f t="shared" si="194"/>
        <v>604166.20878633379</v>
      </c>
      <c r="BA109" s="2">
        <f t="shared" si="194"/>
        <v>0</v>
      </c>
      <c r="BB109" s="2">
        <f t="shared" si="194"/>
        <v>0</v>
      </c>
      <c r="BC109" s="2">
        <f t="shared" si="194"/>
        <v>0</v>
      </c>
      <c r="BD109" s="2">
        <f t="shared" si="194"/>
        <v>0</v>
      </c>
      <c r="BE109" s="2">
        <f t="shared" si="194"/>
        <v>0</v>
      </c>
      <c r="BF109" s="2">
        <f>(L109-AY109)/AH109/12</f>
        <v>462.77802706228971</v>
      </c>
      <c r="BG109" s="2">
        <f>I109/AH109/12</f>
        <v>359.82923247219105</v>
      </c>
      <c r="BH109" s="2">
        <f>(H109+K109)/AH109/12</f>
        <v>32.731701043987435</v>
      </c>
      <c r="BI109" s="2">
        <f t="shared" si="186"/>
        <v>70.217093546111215</v>
      </c>
      <c r="BJ109" s="2">
        <f>(V109-AZ109)/AI109/12</f>
        <v>502.93607490424148</v>
      </c>
      <c r="BK109" s="2">
        <f>S109/AI109/12</f>
        <v>381.95408655892902</v>
      </c>
      <c r="BL109" s="2">
        <f>(R109+U109)/AI109/12</f>
        <v>36.381286739233865</v>
      </c>
      <c r="BM109" s="2">
        <f t="shared" si="187"/>
        <v>84.600701606078587</v>
      </c>
      <c r="BN109" s="2">
        <f>(L109-AY109-Z109)/AH109/12</f>
        <v>170.213619593517</v>
      </c>
      <c r="BO109" s="2">
        <f>(W109+Y109)/AH109/12</f>
        <v>285.49729588759038</v>
      </c>
      <c r="BP109" s="2">
        <f t="shared" si="188"/>
        <v>7.0671115811823597</v>
      </c>
      <c r="BQ109" s="2">
        <f>(V109-AZ109-AD109)/AI109/12</f>
        <v>187.82238353467434</v>
      </c>
      <c r="BR109" s="2">
        <f>(AA109+AC109)/AI109/12</f>
        <v>307.43605874938442</v>
      </c>
      <c r="BS109" s="2">
        <f t="shared" si="189"/>
        <v>7.6776326201827487</v>
      </c>
      <c r="BT109" s="18">
        <f t="shared" si="190"/>
        <v>0.77754174016511424</v>
      </c>
      <c r="BU109" s="18">
        <f t="shared" si="191"/>
        <v>0.7594485773001125</v>
      </c>
      <c r="BV109" s="18">
        <f>(W109+Y109)/(L109-AY109)</f>
        <v>0.61692059517156494</v>
      </c>
      <c r="BW109" s="18">
        <f>(AA109+AC109)/(V109-AZ109)</f>
        <v>0.61128257464513736</v>
      </c>
      <c r="BX109" s="34">
        <f t="shared" si="180"/>
        <v>15.980848329048852</v>
      </c>
      <c r="BY109" s="34">
        <f t="shared" si="180"/>
        <v>15.66178585436003</v>
      </c>
      <c r="BZ109" s="34">
        <f t="shared" si="181"/>
        <v>12.326390437978407</v>
      </c>
      <c r="CA109" s="34">
        <f t="shared" si="182"/>
        <v>11.887028724067179</v>
      </c>
    </row>
    <row r="110" spans="1:79" x14ac:dyDescent="0.35">
      <c r="A110" t="s">
        <v>278</v>
      </c>
      <c r="B110" s="2">
        <f>COUNTIF($BJ$4:$BJ$82,"&lt;450")</f>
        <v>9</v>
      </c>
      <c r="C110" s="2">
        <f t="shared" ref="C110:AN110" si="195">SUMIF($BJ$4:$BJ$82,"&lt;450",C$4:C$82)</f>
        <v>8505965.9399999995</v>
      </c>
      <c r="D110" s="2">
        <f t="shared" si="195"/>
        <v>13067.029999999999</v>
      </c>
      <c r="E110" s="2">
        <f t="shared" si="195"/>
        <v>6127118.379999999</v>
      </c>
      <c r="F110" s="2">
        <f t="shared" si="195"/>
        <v>60840539.729999907</v>
      </c>
      <c r="G110" s="2">
        <f t="shared" si="195"/>
        <v>4093844.7</v>
      </c>
      <c r="H110" s="2">
        <f t="shared" si="195"/>
        <v>12867890.720000001</v>
      </c>
      <c r="I110" s="2">
        <f t="shared" si="195"/>
        <v>282013569.12</v>
      </c>
      <c r="J110" s="2">
        <f t="shared" si="195"/>
        <v>15836497.60782</v>
      </c>
      <c r="K110" s="2">
        <f t="shared" si="195"/>
        <v>17090297.280000005</v>
      </c>
      <c r="L110" s="2">
        <f t="shared" si="195"/>
        <v>364369594.39999998</v>
      </c>
      <c r="M110" s="2">
        <f t="shared" si="195"/>
        <v>10333826.07</v>
      </c>
      <c r="N110" s="2">
        <f t="shared" si="195"/>
        <v>13920.17</v>
      </c>
      <c r="O110" s="2">
        <f t="shared" si="195"/>
        <v>6792127.6099999994</v>
      </c>
      <c r="P110" s="2">
        <f t="shared" si="195"/>
        <v>67484781.409999982</v>
      </c>
      <c r="Q110" s="2">
        <f t="shared" si="195"/>
        <v>4203152.0600000005</v>
      </c>
      <c r="R110" s="2">
        <f t="shared" si="195"/>
        <v>13459537.080000002</v>
      </c>
      <c r="S110" s="2">
        <f t="shared" si="195"/>
        <v>290653949.01999998</v>
      </c>
      <c r="T110" s="2">
        <f t="shared" si="195"/>
        <v>16848110.423640002</v>
      </c>
      <c r="U110" s="2">
        <f t="shared" si="195"/>
        <v>17182494.27</v>
      </c>
      <c r="V110" s="2">
        <f t="shared" si="195"/>
        <v>381465818.87999994</v>
      </c>
      <c r="W110" s="2">
        <f t="shared" si="195"/>
        <v>227056050</v>
      </c>
      <c r="X110" s="2">
        <f t="shared" si="195"/>
        <v>10803154.359999999</v>
      </c>
      <c r="Y110" s="2">
        <f t="shared" si="195"/>
        <v>14304292.25</v>
      </c>
      <c r="Z110" s="2">
        <f t="shared" si="195"/>
        <v>252163496.61000001</v>
      </c>
      <c r="AA110" s="2">
        <f t="shared" si="195"/>
        <v>227572144</v>
      </c>
      <c r="AB110" s="2">
        <f t="shared" si="195"/>
        <v>11120293.25</v>
      </c>
      <c r="AC110" s="2">
        <f t="shared" si="195"/>
        <v>20772807.32</v>
      </c>
      <c r="AD110" s="2">
        <f t="shared" si="195"/>
        <v>259465244.56999999</v>
      </c>
      <c r="AE110" s="2">
        <f t="shared" si="195"/>
        <v>76013</v>
      </c>
      <c r="AF110" s="2">
        <f t="shared" si="195"/>
        <v>74802</v>
      </c>
      <c r="AG110" s="2">
        <f t="shared" si="195"/>
        <v>73462</v>
      </c>
      <c r="AH110" s="2">
        <f t="shared" si="195"/>
        <v>75609.333333333328</v>
      </c>
      <c r="AI110" s="2">
        <f t="shared" si="195"/>
        <v>74355.333333333328</v>
      </c>
      <c r="AJ110" s="2">
        <f t="shared" si="195"/>
        <v>3759</v>
      </c>
      <c r="AK110" s="2">
        <f t="shared" si="195"/>
        <v>3741</v>
      </c>
      <c r="AL110" s="2">
        <f t="shared" si="195"/>
        <v>3723</v>
      </c>
      <c r="AM110" s="2">
        <f t="shared" si="195"/>
        <v>3753</v>
      </c>
      <c r="AN110" s="2">
        <f t="shared" si="195"/>
        <v>3734.9999999999995</v>
      </c>
      <c r="AO110" s="2">
        <f t="shared" ref="AO110:AR110" si="196">SUMIF($BJ$4:$BJ$82,"&lt;450",AO$4:AO$82)</f>
        <v>5225.4799999999996</v>
      </c>
      <c r="AP110" s="2">
        <f t="shared" si="196"/>
        <v>5220.3900000000012</v>
      </c>
      <c r="AQ110" s="2">
        <f t="shared" si="196"/>
        <v>155654055.82999998</v>
      </c>
      <c r="AR110" s="2">
        <f t="shared" si="196"/>
        <v>156336158.98999998</v>
      </c>
      <c r="AS110" s="2">
        <f t="shared" si="170"/>
        <v>2482.2927882542208</v>
      </c>
      <c r="AT110" s="2">
        <f t="shared" si="171"/>
        <v>2495.6015257800013</v>
      </c>
      <c r="AU110" s="2">
        <f>SUMIF($BJ$4:$BJ$82,"&lt;450",AU$4:AU$82)</f>
        <v>327.33333333333331</v>
      </c>
      <c r="AV110" s="2">
        <f>SUMIF($BJ$4:$BJ$82,"&lt;450",AV$4:AV$82)</f>
        <v>284</v>
      </c>
      <c r="AW110" s="18">
        <f t="shared" si="172"/>
        <v>4.3106097186251706E-3</v>
      </c>
      <c r="AX110" s="18">
        <f t="shared" si="172"/>
        <v>3.804964317294724E-3</v>
      </c>
      <c r="AY110" s="2">
        <f t="shared" ref="AY110:BE110" si="197">SUMIF($BJ$4:$BJ$82,"&lt;450",AY$4:AY$82)</f>
        <v>362139.99169874826</v>
      </c>
      <c r="AZ110" s="2">
        <f t="shared" si="197"/>
        <v>190925.84935994342</v>
      </c>
      <c r="BA110" s="2">
        <f t="shared" si="197"/>
        <v>0</v>
      </c>
      <c r="BB110" s="2">
        <f t="shared" si="197"/>
        <v>0</v>
      </c>
      <c r="BC110" s="2">
        <f t="shared" si="197"/>
        <v>0</v>
      </c>
      <c r="BD110" s="2">
        <f t="shared" si="197"/>
        <v>0</v>
      </c>
      <c r="BE110" s="2">
        <f t="shared" si="197"/>
        <v>0</v>
      </c>
      <c r="BF110" s="2">
        <f>(L110-AY110)/AH110/12</f>
        <v>401.19325481014386</v>
      </c>
      <c r="BG110" s="2">
        <f>I110/AH110/12</f>
        <v>310.82314476166965</v>
      </c>
      <c r="BH110" s="2">
        <f>(H110+K110)/AH110/12</f>
        <v>33.018617630980309</v>
      </c>
      <c r="BI110" s="2">
        <f t="shared" si="186"/>
        <v>57.351492417493894</v>
      </c>
      <c r="BJ110" s="2">
        <f>(V110-AZ110)/AI110/12</f>
        <v>427.31175193736385</v>
      </c>
      <c r="BK110" s="2">
        <f>S110/AI110/12</f>
        <v>325.74882436139978</v>
      </c>
      <c r="BL110" s="2">
        <f>(R110+U110)/AI110/12</f>
        <v>34.341889115777398</v>
      </c>
      <c r="BM110" s="2">
        <f t="shared" si="187"/>
        <v>67.221038460186662</v>
      </c>
      <c r="BN110" s="2">
        <f>(L110-AY110-Z110)/AH110/12</f>
        <v>123.26956746775225</v>
      </c>
      <c r="BO110" s="2">
        <f>(W110+Y110)/AH110/12</f>
        <v>266.01691838088772</v>
      </c>
      <c r="BP110" s="2">
        <f t="shared" si="188"/>
        <v>11.906768961503872</v>
      </c>
      <c r="BQ110" s="2">
        <f>(V110-AZ110-AD110)/AI110/12</f>
        <v>136.5174975799091</v>
      </c>
      <c r="BR110" s="2">
        <f>(AA110+AC110)/AI110/12</f>
        <v>278.33124649206962</v>
      </c>
      <c r="BS110" s="2">
        <f t="shared" si="189"/>
        <v>12.463007865385123</v>
      </c>
      <c r="BT110" s="18">
        <f t="shared" si="190"/>
        <v>0.77474668637876298</v>
      </c>
      <c r="BU110" s="18">
        <f t="shared" si="191"/>
        <v>0.76232123943351937</v>
      </c>
      <c r="BV110" s="18">
        <f>(W110+Y110)/(L110-AY110)</f>
        <v>0.66306428433542475</v>
      </c>
      <c r="BW110" s="18">
        <f>(AA110+AC110)/(V110-AZ110)</f>
        <v>0.65135406463819401</v>
      </c>
      <c r="BX110" s="34">
        <f t="shared" si="180"/>
        <v>20.146371791455724</v>
      </c>
      <c r="BY110" s="34">
        <f t="shared" si="180"/>
        <v>19.907719767960732</v>
      </c>
      <c r="BZ110" s="34">
        <f t="shared" si="181"/>
        <v>14.469356563097234</v>
      </c>
      <c r="CA110" s="34">
        <f t="shared" si="182"/>
        <v>14.243252579468836</v>
      </c>
    </row>
    <row r="111" spans="1:79" x14ac:dyDescent="0.35">
      <c r="BE111" s="28" t="s">
        <v>281</v>
      </c>
      <c r="BF111" s="44">
        <f>BF107/BF110</f>
        <v>1.6087126133775072</v>
      </c>
      <c r="BG111" s="44">
        <f t="shared" ref="BG111:BS111" si="198">BG107/BG110</f>
        <v>1.6573908454375723</v>
      </c>
      <c r="BH111" s="44">
        <f t="shared" si="198"/>
        <v>1.2002868542186917</v>
      </c>
      <c r="BI111" s="44">
        <f t="shared" si="198"/>
        <v>1.5800356404041185</v>
      </c>
      <c r="BJ111" s="44">
        <f t="shared" si="198"/>
        <v>1.7019613597305996</v>
      </c>
      <c r="BK111" s="44">
        <f t="shared" si="198"/>
        <v>1.6565946253070871</v>
      </c>
      <c r="BL111" s="44">
        <f t="shared" si="198"/>
        <v>1.6777579871104753</v>
      </c>
      <c r="BM111" s="44">
        <f t="shared" si="198"/>
        <v>1.9341706546162807</v>
      </c>
      <c r="BN111" s="44">
        <f t="shared" si="198"/>
        <v>1.8615914062220285</v>
      </c>
      <c r="BO111" s="44">
        <f t="shared" si="198"/>
        <v>1.5050212601328976</v>
      </c>
      <c r="BP111" s="44">
        <f t="shared" si="198"/>
        <v>1.3073205922138502</v>
      </c>
      <c r="BQ111" s="44">
        <f t="shared" si="198"/>
        <v>2.1154923944845176</v>
      </c>
      <c r="BR111" s="44">
        <f t="shared" si="198"/>
        <v>1.5163001767700981</v>
      </c>
      <c r="BS111" s="44">
        <f t="shared" si="198"/>
        <v>1.3185135107631132</v>
      </c>
      <c r="BT111" s="44"/>
      <c r="BU111" s="44"/>
      <c r="BX111" s="44">
        <f>BX110/BX107</f>
        <v>1.9153543898015521</v>
      </c>
      <c r="BY111" s="44">
        <f>BY110/BY107</f>
        <v>1.8969045358469463</v>
      </c>
      <c r="BZ111" s="44"/>
      <c r="CA111" s="44"/>
    </row>
    <row r="113" spans="1:79" x14ac:dyDescent="0.35">
      <c r="A113" t="s">
        <v>287</v>
      </c>
      <c r="C113" s="2">
        <f t="shared" ref="C113:L118" si="199">SUMIF($CG$4:$CG$82,$A113,C$4:C$82)</f>
        <v>7367370.5799999991</v>
      </c>
      <c r="D113" s="2">
        <f t="shared" si="199"/>
        <v>10586.44</v>
      </c>
      <c r="E113" s="2">
        <f t="shared" si="199"/>
        <v>5965472.3099999996</v>
      </c>
      <c r="F113" s="2">
        <f t="shared" si="199"/>
        <v>53391203.949999906</v>
      </c>
      <c r="G113" s="2">
        <f t="shared" si="199"/>
        <v>2629755.15</v>
      </c>
      <c r="H113" s="2">
        <f t="shared" si="199"/>
        <v>12459179.810000001</v>
      </c>
      <c r="I113" s="2">
        <f t="shared" si="199"/>
        <v>248328633.33000001</v>
      </c>
      <c r="J113" s="2">
        <f t="shared" si="199"/>
        <v>13926760.413660001</v>
      </c>
      <c r="K113" s="2">
        <f t="shared" si="199"/>
        <v>15182644.830000002</v>
      </c>
      <c r="L113" s="2">
        <f t="shared" si="199"/>
        <v>321650683.97999996</v>
      </c>
      <c r="M113" s="2">
        <f t="shared" ref="M113:V118" si="200">SUMIF($CG$4:$CG$82,$A113,M$4:M$82)</f>
        <v>8988992.5999999996</v>
      </c>
      <c r="N113" s="2">
        <f t="shared" si="200"/>
        <v>13963.740000000002</v>
      </c>
      <c r="O113" s="2">
        <f t="shared" si="200"/>
        <v>6685920.6799999997</v>
      </c>
      <c r="P113" s="2">
        <f t="shared" si="200"/>
        <v>59268281.029999994</v>
      </c>
      <c r="Q113" s="2">
        <f t="shared" si="200"/>
        <v>2703822.74</v>
      </c>
      <c r="R113" s="2">
        <f t="shared" si="200"/>
        <v>13140208.940000001</v>
      </c>
      <c r="S113" s="2">
        <f t="shared" si="200"/>
        <v>256800021.73000002</v>
      </c>
      <c r="T113" s="2">
        <f t="shared" si="200"/>
        <v>14898171.119520001</v>
      </c>
      <c r="U113" s="2">
        <f t="shared" si="200"/>
        <v>15269871.920000002</v>
      </c>
      <c r="V113" s="2">
        <f t="shared" si="200"/>
        <v>337637308.27999997</v>
      </c>
      <c r="W113" s="2">
        <f t="shared" ref="W113:AF118" si="201">SUMIF($CG$4:$CG$82,$A113,W$4:W$82)</f>
        <v>199906037</v>
      </c>
      <c r="X113" s="2">
        <f t="shared" si="201"/>
        <v>8892942.7999999989</v>
      </c>
      <c r="Y113" s="2">
        <f t="shared" si="201"/>
        <v>13238816.390000001</v>
      </c>
      <c r="Z113" s="2">
        <f t="shared" si="201"/>
        <v>222037796.19</v>
      </c>
      <c r="AA113" s="2">
        <f t="shared" si="201"/>
        <v>200037727</v>
      </c>
      <c r="AB113" s="2">
        <f t="shared" si="201"/>
        <v>9032241.5999999996</v>
      </c>
      <c r="AC113" s="2">
        <f t="shared" si="201"/>
        <v>18675211.189999998</v>
      </c>
      <c r="AD113" s="2">
        <f t="shared" si="201"/>
        <v>227745179.79000002</v>
      </c>
      <c r="AE113" s="2">
        <f t="shared" si="201"/>
        <v>67161</v>
      </c>
      <c r="AF113" s="2">
        <f t="shared" si="201"/>
        <v>65960</v>
      </c>
      <c r="AG113" s="2">
        <f t="shared" ref="AG113:AR118" si="202">SUMIF($CG$4:$CG$82,$A113,AG$4:AG$82)</f>
        <v>64827</v>
      </c>
      <c r="AH113" s="2">
        <f t="shared" si="202"/>
        <v>66760.666666666657</v>
      </c>
      <c r="AI113" s="2">
        <f t="shared" si="202"/>
        <v>65582.333333333328</v>
      </c>
      <c r="AJ113" s="2">
        <f t="shared" si="202"/>
        <v>3232</v>
      </c>
      <c r="AK113" s="2">
        <f t="shared" si="202"/>
        <v>3223</v>
      </c>
      <c r="AL113" s="2">
        <f t="shared" si="202"/>
        <v>3208</v>
      </c>
      <c r="AM113" s="2">
        <f t="shared" si="202"/>
        <v>3229</v>
      </c>
      <c r="AN113" s="2">
        <f t="shared" si="202"/>
        <v>3217.9999999999995</v>
      </c>
      <c r="AO113" s="2">
        <f t="shared" si="202"/>
        <v>4540.83</v>
      </c>
      <c r="AP113" s="2">
        <f t="shared" si="202"/>
        <v>4544.21</v>
      </c>
      <c r="AQ113" s="2">
        <f t="shared" si="202"/>
        <v>137216163.72</v>
      </c>
      <c r="AR113" s="2">
        <f t="shared" si="202"/>
        <v>137979443.83999997</v>
      </c>
      <c r="AS113" s="2">
        <f t="shared" ref="AS113:AS116" si="203">AQ113/AO113/12</f>
        <v>2518.1916764115813</v>
      </c>
      <c r="AT113" s="2">
        <f t="shared" ref="AT113:AT116" si="204">AR113/AP113/12</f>
        <v>2530.3159375703731</v>
      </c>
      <c r="AU113" s="2">
        <f t="shared" ref="AU113:AV118" si="205">SUMIF($CG$4:$CG$82,$A113,AU$4:AU$82)</f>
        <v>297.33333333333331</v>
      </c>
      <c r="AV113" s="2">
        <f t="shared" si="205"/>
        <v>284</v>
      </c>
      <c r="AY113" s="2">
        <f t="shared" ref="AY113:AZ118" si="206">SUMIF($CG$4:$CG$82,$A113,AY$4:AY$82)</f>
        <v>209646.88345336565</v>
      </c>
      <c r="AZ113" s="2">
        <f t="shared" si="206"/>
        <v>190925.84935994342</v>
      </c>
      <c r="BF113" s="2">
        <f t="shared" ref="BF113:BF118" si="207">(L113-AY113)/AH113/12</f>
        <v>401.23555423920601</v>
      </c>
      <c r="BG113" s="2">
        <f t="shared" ref="BG113:BG118" si="208">I113/AH113/12</f>
        <v>309.97372870502596</v>
      </c>
      <c r="BH113" s="2">
        <f t="shared" ref="BH113:BH118" si="209">(H113+K113)/AH113/12</f>
        <v>34.503630680740166</v>
      </c>
      <c r="BI113" s="2">
        <f t="shared" ref="BI113:BI118" si="210">BF113-BG113-BH113</f>
        <v>56.758194853439882</v>
      </c>
      <c r="BJ113" s="2">
        <f t="shared" ref="BJ113:BJ118" si="211">(V113-AZ113)/AI113/12</f>
        <v>428.78211920720531</v>
      </c>
      <c r="BK113" s="2">
        <f t="shared" ref="BK113:BK118" si="212">S113/AI113/12</f>
        <v>326.30741730496533</v>
      </c>
      <c r="BL113" s="2">
        <f t="shared" ref="BL113:BL118" si="213">(R113+U113)/AI113/12</f>
        <v>36.099763732102652</v>
      </c>
      <c r="BM113" s="2">
        <f t="shared" ref="BM113:BM118" si="214">BJ113-BK113-BL113</f>
        <v>66.374938170137341</v>
      </c>
      <c r="BN113" s="2">
        <f t="shared" ref="BN113:BN118" si="215">(L113-AY113-Z113)/AH113/12</f>
        <v>124.07909960274338</v>
      </c>
      <c r="BO113" s="2">
        <f t="shared" ref="BO113:BO118" si="216">(W113+Y113)/AH113/12</f>
        <v>266.05592787919039</v>
      </c>
      <c r="BP113" s="2">
        <f t="shared" ref="BP113:BP118" si="217">BF113-BN113-BO113</f>
        <v>11.100526757272235</v>
      </c>
      <c r="BQ113" s="2">
        <f t="shared" ref="BQ113:BQ118" si="218">(V113-AZ113-AD113)/AI113/12</f>
        <v>139.39374252293558</v>
      </c>
      <c r="BR113" s="2">
        <f t="shared" ref="BR113:BR118" si="219">(AA113+AC113)/AI113/12</f>
        <v>277.91140168592153</v>
      </c>
      <c r="BS113" s="2">
        <f t="shared" ref="BS113:BS118" si="220">BJ113-BQ113-BR113</f>
        <v>11.476974998348169</v>
      </c>
      <c r="BT113" s="18">
        <f t="shared" ref="BT113:BT118" si="221">BG113/BF113</f>
        <v>0.77254800934273093</v>
      </c>
      <c r="BU113" s="18">
        <f t="shared" ref="BU113:BU118" si="222">BK113/BJ113</f>
        <v>0.76100985252904174</v>
      </c>
      <c r="BV113" s="18">
        <f t="shared" ref="BV113:BV118" si="223">(W113+Y113)/(L113-AY113)</f>
        <v>0.66309160558731262</v>
      </c>
      <c r="BW113" s="18">
        <f t="shared" ref="BW113:BW118" si="224">(AA113+AC113)/(V113-AZ113)</f>
        <v>0.64814130355940336</v>
      </c>
      <c r="BX113" s="34">
        <f t="shared" ref="BX113:BY118" si="225">AH113/AM113</f>
        <v>20.675338081965517</v>
      </c>
      <c r="BY113" s="34">
        <f t="shared" si="225"/>
        <v>20.379842552309924</v>
      </c>
      <c r="BZ113" s="34">
        <f t="shared" ref="BZ113:BZ118" si="226">AH113/AO113</f>
        <v>14.7023047915616</v>
      </c>
      <c r="CA113" s="34">
        <f t="shared" ref="CA113:CA118" si="227">AI113/AP113</f>
        <v>14.432064832684521</v>
      </c>
    </row>
    <row r="114" spans="1:79" x14ac:dyDescent="0.35">
      <c r="A114" t="s">
        <v>235</v>
      </c>
      <c r="C114" s="2">
        <f t="shared" si="199"/>
        <v>4078093.4399999995</v>
      </c>
      <c r="D114" s="2">
        <f t="shared" si="199"/>
        <v>6664.9</v>
      </c>
      <c r="E114" s="2">
        <f t="shared" si="199"/>
        <v>931827.97</v>
      </c>
      <c r="F114" s="2">
        <f t="shared" si="199"/>
        <v>27880770.239999998</v>
      </c>
      <c r="G114" s="2">
        <f t="shared" si="199"/>
        <v>5868787.5799999982</v>
      </c>
      <c r="H114" s="2">
        <f t="shared" si="199"/>
        <v>1644273.16</v>
      </c>
      <c r="I114" s="2">
        <f t="shared" si="199"/>
        <v>133355145.56999999</v>
      </c>
      <c r="J114" s="2">
        <f t="shared" si="199"/>
        <v>6840245.9065800002</v>
      </c>
      <c r="K114" s="2">
        <f t="shared" si="199"/>
        <v>9588193.790000001</v>
      </c>
      <c r="L114" s="2">
        <f t="shared" si="199"/>
        <v>169040080.35999998</v>
      </c>
      <c r="M114" s="2">
        <f t="shared" si="200"/>
        <v>5065377.8899999997</v>
      </c>
      <c r="N114" s="2">
        <f t="shared" si="200"/>
        <v>13039.300000000001</v>
      </c>
      <c r="O114" s="2">
        <f t="shared" si="200"/>
        <v>248670.86</v>
      </c>
      <c r="P114" s="2">
        <f t="shared" si="200"/>
        <v>31854880.470000003</v>
      </c>
      <c r="Q114" s="2">
        <f t="shared" si="200"/>
        <v>5990013.4900000002</v>
      </c>
      <c r="R114" s="2">
        <f t="shared" si="200"/>
        <v>1428140.54</v>
      </c>
      <c r="S114" s="2">
        <f t="shared" si="200"/>
        <v>134173938.86000001</v>
      </c>
      <c r="T114" s="2">
        <f t="shared" si="200"/>
        <v>6828173.1058199983</v>
      </c>
      <c r="U114" s="2">
        <f t="shared" si="200"/>
        <v>10606744.370000001</v>
      </c>
      <c r="V114" s="2">
        <f t="shared" si="200"/>
        <v>175723967.40000004</v>
      </c>
      <c r="W114" s="2">
        <f t="shared" si="201"/>
        <v>97534231</v>
      </c>
      <c r="X114" s="2">
        <f t="shared" si="201"/>
        <v>3752701.52</v>
      </c>
      <c r="Y114" s="2">
        <f t="shared" si="201"/>
        <v>9457400.1399999969</v>
      </c>
      <c r="Z114" s="2">
        <f t="shared" si="201"/>
        <v>110744332.66</v>
      </c>
      <c r="AA114" s="2">
        <f t="shared" si="201"/>
        <v>96696158</v>
      </c>
      <c r="AB114" s="2">
        <f t="shared" si="201"/>
        <v>3969940.6800000006</v>
      </c>
      <c r="AC114" s="2">
        <f t="shared" si="201"/>
        <v>13289356.210000001</v>
      </c>
      <c r="AD114" s="2">
        <f t="shared" si="201"/>
        <v>113955454.88999997</v>
      </c>
      <c r="AE114" s="2">
        <f t="shared" si="201"/>
        <v>33161</v>
      </c>
      <c r="AF114" s="2">
        <f t="shared" si="201"/>
        <v>30583</v>
      </c>
      <c r="AG114" s="2">
        <f t="shared" si="202"/>
        <v>30272</v>
      </c>
      <c r="AH114" s="2">
        <f t="shared" si="202"/>
        <v>32301.666666666668</v>
      </c>
      <c r="AI114" s="2">
        <f t="shared" si="202"/>
        <v>30479.333333333339</v>
      </c>
      <c r="AJ114" s="2">
        <f t="shared" si="202"/>
        <v>1976</v>
      </c>
      <c r="AK114" s="2">
        <f t="shared" si="202"/>
        <v>1857</v>
      </c>
      <c r="AL114" s="2">
        <f t="shared" si="202"/>
        <v>1857</v>
      </c>
      <c r="AM114" s="2">
        <f t="shared" si="202"/>
        <v>1936.3333333333335</v>
      </c>
      <c r="AN114" s="2">
        <f t="shared" si="202"/>
        <v>1857.0000000000002</v>
      </c>
      <c r="AO114" s="2">
        <f t="shared" si="202"/>
        <v>2525.2399999999998</v>
      </c>
      <c r="AP114" s="2">
        <f t="shared" si="202"/>
        <v>2475.4299999999998</v>
      </c>
      <c r="AQ114" s="2">
        <f t="shared" si="202"/>
        <v>71236734.870000005</v>
      </c>
      <c r="AR114" s="2">
        <f t="shared" si="202"/>
        <v>70072243.850000009</v>
      </c>
      <c r="AS114" s="2">
        <f t="shared" si="203"/>
        <v>2350.8239107965978</v>
      </c>
      <c r="AT114" s="2">
        <f t="shared" si="204"/>
        <v>2358.9249763340786</v>
      </c>
      <c r="AU114" s="2">
        <f t="shared" si="205"/>
        <v>885.66666666666674</v>
      </c>
      <c r="AV114" s="2">
        <f t="shared" si="205"/>
        <v>847.33333333333326</v>
      </c>
      <c r="AY114" s="2">
        <f t="shared" si="206"/>
        <v>214776.32766735827</v>
      </c>
      <c r="AZ114" s="2">
        <f t="shared" si="206"/>
        <v>72564.070851954108</v>
      </c>
      <c r="BF114" s="2">
        <f t="shared" si="207"/>
        <v>435.54332602118734</v>
      </c>
      <c r="BG114" s="2">
        <f t="shared" si="208"/>
        <v>344.03577103864609</v>
      </c>
      <c r="BH114" s="2">
        <f t="shared" si="209"/>
        <v>28.978037639956657</v>
      </c>
      <c r="BI114" s="2">
        <f t="shared" si="210"/>
        <v>62.529517342584597</v>
      </c>
      <c r="BJ114" s="2">
        <f t="shared" si="211"/>
        <v>480.24728047733998</v>
      </c>
      <c r="BK114" s="2">
        <f t="shared" si="212"/>
        <v>366.84403327938054</v>
      </c>
      <c r="BL114" s="2">
        <f t="shared" si="213"/>
        <v>32.904495149718933</v>
      </c>
      <c r="BM114" s="2">
        <f t="shared" si="214"/>
        <v>80.498752048240505</v>
      </c>
      <c r="BN114" s="2">
        <f t="shared" si="215"/>
        <v>149.83997567806776</v>
      </c>
      <c r="BO114" s="2">
        <f t="shared" si="216"/>
        <v>276.02195743253702</v>
      </c>
      <c r="BP114" s="2">
        <f t="shared" si="217"/>
        <v>9.6813929105825878</v>
      </c>
      <c r="BQ114" s="2">
        <f t="shared" si="218"/>
        <v>168.6824636342333</v>
      </c>
      <c r="BR114" s="2">
        <f t="shared" si="219"/>
        <v>300.71062963428767</v>
      </c>
      <c r="BS114" s="2">
        <f t="shared" si="220"/>
        <v>10.854187208818985</v>
      </c>
      <c r="BT114" s="18">
        <f t="shared" si="221"/>
        <v>0.78990022458043641</v>
      </c>
      <c r="BU114" s="18">
        <f t="shared" si="222"/>
        <v>0.76386488417957787</v>
      </c>
      <c r="BV114" s="18">
        <f t="shared" si="223"/>
        <v>0.6337416760671698</v>
      </c>
      <c r="BW114" s="18">
        <f t="shared" si="224"/>
        <v>0.62615790210284472</v>
      </c>
      <c r="BX114" s="34">
        <f t="shared" si="225"/>
        <v>16.681872955758305</v>
      </c>
      <c r="BY114" s="34">
        <f t="shared" si="225"/>
        <v>16.413211272662</v>
      </c>
      <c r="BZ114" s="34">
        <f t="shared" si="226"/>
        <v>12.791523445956294</v>
      </c>
      <c r="CA114" s="34">
        <f t="shared" si="227"/>
        <v>12.31274297125483</v>
      </c>
    </row>
    <row r="115" spans="1:79" x14ac:dyDescent="0.35">
      <c r="A115" t="s">
        <v>232</v>
      </c>
      <c r="C115" s="2">
        <f t="shared" si="199"/>
        <v>937405.17</v>
      </c>
      <c r="D115" s="2">
        <f t="shared" si="199"/>
        <v>693.3</v>
      </c>
      <c r="E115" s="2">
        <f t="shared" si="199"/>
        <v>56183</v>
      </c>
      <c r="F115" s="2">
        <f t="shared" si="199"/>
        <v>6517994.9100000001</v>
      </c>
      <c r="G115" s="2">
        <f t="shared" si="199"/>
        <v>1292802.99</v>
      </c>
      <c r="H115" s="2">
        <f t="shared" si="199"/>
        <v>814631.67</v>
      </c>
      <c r="I115" s="2">
        <f t="shared" si="199"/>
        <v>22843546.02</v>
      </c>
      <c r="J115" s="2">
        <f t="shared" si="199"/>
        <v>1124447.6938199999</v>
      </c>
      <c r="K115" s="2">
        <f t="shared" si="199"/>
        <v>1734777.4899999998</v>
      </c>
      <c r="L115" s="2">
        <f t="shared" si="199"/>
        <v>30741613.900000002</v>
      </c>
      <c r="M115" s="2">
        <f t="shared" si="200"/>
        <v>1151260.71</v>
      </c>
      <c r="N115" s="2">
        <f t="shared" si="200"/>
        <v>-360.51</v>
      </c>
      <c r="O115" s="2">
        <f t="shared" si="200"/>
        <v>62498</v>
      </c>
      <c r="P115" s="2">
        <f t="shared" si="200"/>
        <v>7341301.4900000002</v>
      </c>
      <c r="Q115" s="2">
        <f t="shared" si="200"/>
        <v>1341552.3600000001</v>
      </c>
      <c r="R115" s="2">
        <f t="shared" si="200"/>
        <v>959527.20000000007</v>
      </c>
      <c r="S115" s="2">
        <f t="shared" si="200"/>
        <v>23226571.32</v>
      </c>
      <c r="T115" s="2">
        <f t="shared" si="200"/>
        <v>1196611.1985000002</v>
      </c>
      <c r="U115" s="2">
        <f t="shared" si="200"/>
        <v>1645357.48</v>
      </c>
      <c r="V115" s="2">
        <f t="shared" si="200"/>
        <v>32022578.129999992</v>
      </c>
      <c r="W115" s="2">
        <f t="shared" si="201"/>
        <v>16351716</v>
      </c>
      <c r="X115" s="2">
        <f t="shared" si="201"/>
        <v>366670.45</v>
      </c>
      <c r="Y115" s="2">
        <f t="shared" si="201"/>
        <v>1695704.98</v>
      </c>
      <c r="Z115" s="2">
        <f t="shared" si="201"/>
        <v>18414091.43</v>
      </c>
      <c r="AA115" s="2">
        <f t="shared" si="201"/>
        <v>16454509</v>
      </c>
      <c r="AB115" s="2">
        <f t="shared" si="201"/>
        <v>456393.1</v>
      </c>
      <c r="AC115" s="2">
        <f t="shared" si="201"/>
        <v>2142424.1999999997</v>
      </c>
      <c r="AD115" s="2">
        <f t="shared" si="201"/>
        <v>19053326.300000001</v>
      </c>
      <c r="AE115" s="2">
        <f t="shared" si="201"/>
        <v>4503</v>
      </c>
      <c r="AF115" s="2">
        <f t="shared" si="201"/>
        <v>4457</v>
      </c>
      <c r="AG115" s="2">
        <f t="shared" si="202"/>
        <v>4499</v>
      </c>
      <c r="AH115" s="2">
        <f t="shared" si="202"/>
        <v>4487.666666666667</v>
      </c>
      <c r="AI115" s="2">
        <f t="shared" si="202"/>
        <v>4471</v>
      </c>
      <c r="AJ115" s="2">
        <f t="shared" si="202"/>
        <v>346</v>
      </c>
      <c r="AK115" s="2">
        <f t="shared" si="202"/>
        <v>347</v>
      </c>
      <c r="AL115" s="2">
        <f t="shared" si="202"/>
        <v>341</v>
      </c>
      <c r="AM115" s="2">
        <f t="shared" si="202"/>
        <v>346.33333333333326</v>
      </c>
      <c r="AN115" s="2">
        <f t="shared" si="202"/>
        <v>344.99999999999994</v>
      </c>
      <c r="AO115" s="2">
        <f t="shared" si="202"/>
        <v>340.82</v>
      </c>
      <c r="AP115" s="2">
        <f t="shared" si="202"/>
        <v>338.09000000000003</v>
      </c>
      <c r="AQ115" s="2">
        <f t="shared" si="202"/>
        <v>9878778.5600000005</v>
      </c>
      <c r="AR115" s="2">
        <f t="shared" si="202"/>
        <v>9777459.4700000007</v>
      </c>
      <c r="AS115" s="2">
        <f t="shared" si="203"/>
        <v>2415.4437728615303</v>
      </c>
      <c r="AT115" s="2">
        <f t="shared" si="204"/>
        <v>2409.974530943437</v>
      </c>
      <c r="AU115" s="2">
        <f t="shared" si="205"/>
        <v>267.66666666666663</v>
      </c>
      <c r="AV115" s="2">
        <f t="shared" si="205"/>
        <v>260</v>
      </c>
      <c r="AY115" s="2">
        <f t="shared" si="206"/>
        <v>12506.510684713377</v>
      </c>
      <c r="AZ115" s="2">
        <f t="shared" si="206"/>
        <v>14203.262145214523</v>
      </c>
      <c r="BF115" s="2">
        <f t="shared" si="207"/>
        <v>570.62146975628173</v>
      </c>
      <c r="BG115" s="2">
        <f t="shared" si="208"/>
        <v>424.1912281809403</v>
      </c>
      <c r="BH115" s="2">
        <f t="shared" si="209"/>
        <v>47.341030231003487</v>
      </c>
      <c r="BI115" s="2">
        <f t="shared" si="210"/>
        <v>99.08921134433794</v>
      </c>
      <c r="BJ115" s="2">
        <f t="shared" si="211"/>
        <v>596.59238924652902</v>
      </c>
      <c r="BK115" s="2">
        <f t="shared" si="212"/>
        <v>432.91156564526955</v>
      </c>
      <c r="BL115" s="2">
        <f t="shared" si="213"/>
        <v>48.551492581823602</v>
      </c>
      <c r="BM115" s="2">
        <f t="shared" si="214"/>
        <v>115.12933101943588</v>
      </c>
      <c r="BN115" s="2">
        <f t="shared" si="215"/>
        <v>228.6826108466777</v>
      </c>
      <c r="BO115" s="2">
        <f t="shared" si="216"/>
        <v>335.13000408527074</v>
      </c>
      <c r="BP115" s="2">
        <f t="shared" si="217"/>
        <v>6.8088548243333094</v>
      </c>
      <c r="BQ115" s="2">
        <f t="shared" si="218"/>
        <v>241.46441079279012</v>
      </c>
      <c r="BR115" s="2">
        <f t="shared" si="219"/>
        <v>346.62143442928505</v>
      </c>
      <c r="BS115" s="2">
        <f t="shared" si="220"/>
        <v>8.5065440244538877</v>
      </c>
      <c r="BT115" s="18">
        <f t="shared" si="221"/>
        <v>0.74338462652328297</v>
      </c>
      <c r="BU115" s="18">
        <f t="shared" si="222"/>
        <v>0.72564044303685904</v>
      </c>
      <c r="BV115" s="18">
        <f t="shared" si="223"/>
        <v>0.58730703600831591</v>
      </c>
      <c r="BW115" s="18">
        <f t="shared" si="224"/>
        <v>0.58100210575440492</v>
      </c>
      <c r="BX115" s="34">
        <f t="shared" si="225"/>
        <v>12.957651588065451</v>
      </c>
      <c r="BY115" s="34">
        <f t="shared" si="225"/>
        <v>12.959420289855075</v>
      </c>
      <c r="BZ115" s="34">
        <f t="shared" si="226"/>
        <v>13.167263267022673</v>
      </c>
      <c r="CA115" s="34">
        <f t="shared" si="227"/>
        <v>13.224289390399004</v>
      </c>
    </row>
    <row r="116" spans="1:79" x14ac:dyDescent="0.35">
      <c r="A116" t="s">
        <v>237</v>
      </c>
      <c r="C116" s="2">
        <f t="shared" si="199"/>
        <v>3909650.1099999994</v>
      </c>
      <c r="D116" s="2">
        <f t="shared" si="199"/>
        <v>4245.07</v>
      </c>
      <c r="E116" s="2">
        <f t="shared" si="199"/>
        <v>281857.77</v>
      </c>
      <c r="F116" s="2">
        <f t="shared" si="199"/>
        <v>28690741.849999998</v>
      </c>
      <c r="G116" s="2">
        <f t="shared" si="199"/>
        <v>6487025.8899999997</v>
      </c>
      <c r="H116" s="2">
        <f t="shared" si="199"/>
        <v>1046669.55</v>
      </c>
      <c r="I116" s="2">
        <f t="shared" si="199"/>
        <v>126710002.18000001</v>
      </c>
      <c r="J116" s="2">
        <f t="shared" si="199"/>
        <v>7464748.2412800007</v>
      </c>
      <c r="K116" s="2">
        <f t="shared" si="199"/>
        <v>10704476.710000003</v>
      </c>
      <c r="L116" s="2">
        <f t="shared" si="199"/>
        <v>163532090.03000003</v>
      </c>
      <c r="M116" s="2">
        <f t="shared" si="200"/>
        <v>4657171.54</v>
      </c>
      <c r="N116" s="2">
        <f t="shared" si="200"/>
        <v>1848.01</v>
      </c>
      <c r="O116" s="2">
        <f t="shared" si="200"/>
        <v>332266.09000000003</v>
      </c>
      <c r="P116" s="2">
        <f t="shared" si="200"/>
        <v>31396129.030000005</v>
      </c>
      <c r="Q116" s="2">
        <f t="shared" si="200"/>
        <v>6561824.7800000012</v>
      </c>
      <c r="R116" s="2">
        <f t="shared" si="200"/>
        <v>986772.91999999993</v>
      </c>
      <c r="S116" s="2">
        <f t="shared" si="200"/>
        <v>131674350.96000002</v>
      </c>
      <c r="T116" s="2">
        <f t="shared" si="200"/>
        <v>7696254.2596200006</v>
      </c>
      <c r="U116" s="2">
        <f t="shared" si="200"/>
        <v>11687528.429999996</v>
      </c>
      <c r="V116" s="2">
        <f t="shared" si="200"/>
        <v>172855203.19</v>
      </c>
      <c r="W116" s="2">
        <f t="shared" si="201"/>
        <v>96143495</v>
      </c>
      <c r="X116" s="2">
        <f t="shared" si="201"/>
        <v>3059242.55</v>
      </c>
      <c r="Y116" s="2">
        <f t="shared" si="201"/>
        <v>3859851.2199999997</v>
      </c>
      <c r="Z116" s="2">
        <f t="shared" si="201"/>
        <v>103062588.77</v>
      </c>
      <c r="AA116" s="2">
        <f t="shared" si="201"/>
        <v>98248593</v>
      </c>
      <c r="AB116" s="2">
        <f t="shared" si="201"/>
        <v>3165012.84</v>
      </c>
      <c r="AC116" s="2">
        <f t="shared" si="201"/>
        <v>7100008.8099999987</v>
      </c>
      <c r="AD116" s="2">
        <f t="shared" si="201"/>
        <v>108513614.64999999</v>
      </c>
      <c r="AE116" s="2">
        <f t="shared" si="201"/>
        <v>26023</v>
      </c>
      <c r="AF116" s="2">
        <f t="shared" si="201"/>
        <v>25964</v>
      </c>
      <c r="AG116" s="2">
        <f t="shared" si="202"/>
        <v>26199</v>
      </c>
      <c r="AH116" s="2">
        <f t="shared" si="202"/>
        <v>26003.333333333328</v>
      </c>
      <c r="AI116" s="2">
        <f t="shared" si="202"/>
        <v>26042.333333333332</v>
      </c>
      <c r="AJ116" s="2">
        <f t="shared" si="202"/>
        <v>1847</v>
      </c>
      <c r="AK116" s="2">
        <f t="shared" si="202"/>
        <v>1876</v>
      </c>
      <c r="AL116" s="2">
        <f t="shared" si="202"/>
        <v>1896</v>
      </c>
      <c r="AM116" s="2">
        <f t="shared" si="202"/>
        <v>1856.6666666666667</v>
      </c>
      <c r="AN116" s="2">
        <f t="shared" si="202"/>
        <v>1882.666666666667</v>
      </c>
      <c r="AO116" s="2">
        <f t="shared" si="202"/>
        <v>2563.8799999999997</v>
      </c>
      <c r="AP116" s="2">
        <f t="shared" si="202"/>
        <v>2614.2299999999996</v>
      </c>
      <c r="AQ116" s="2">
        <f t="shared" si="202"/>
        <v>65702685.889999993</v>
      </c>
      <c r="AR116" s="2">
        <f t="shared" si="202"/>
        <v>67429687.030000016</v>
      </c>
      <c r="AS116" s="2">
        <f t="shared" si="203"/>
        <v>2135.5226547914358</v>
      </c>
      <c r="AT116" s="2">
        <f t="shared" si="204"/>
        <v>2149.443846116576</v>
      </c>
      <c r="AU116" s="2">
        <f t="shared" si="205"/>
        <v>2143.333333333333</v>
      </c>
      <c r="AV116" s="2">
        <f t="shared" si="205"/>
        <v>2095.666666666667</v>
      </c>
      <c r="AY116" s="2">
        <f t="shared" si="206"/>
        <v>779484.26836165215</v>
      </c>
      <c r="AZ116" s="2">
        <f t="shared" si="206"/>
        <v>578956.85319541919</v>
      </c>
      <c r="BF116" s="2">
        <f t="shared" si="207"/>
        <v>521.57609845416744</v>
      </c>
      <c r="BG116" s="2">
        <f t="shared" si="208"/>
        <v>406.06974163568788</v>
      </c>
      <c r="BH116" s="2">
        <f t="shared" si="209"/>
        <v>37.659102230483292</v>
      </c>
      <c r="BI116" s="2">
        <f t="shared" si="210"/>
        <v>77.847254587996275</v>
      </c>
      <c r="BJ116" s="2">
        <f t="shared" si="211"/>
        <v>551.26987576895499</v>
      </c>
      <c r="BK116" s="2">
        <f t="shared" si="212"/>
        <v>421.34713658530353</v>
      </c>
      <c r="BL116" s="2">
        <f t="shared" si="213"/>
        <v>40.556726067812654</v>
      </c>
      <c r="BM116" s="2">
        <f t="shared" si="214"/>
        <v>89.366013115838797</v>
      </c>
      <c r="BN116" s="2">
        <f t="shared" si="215"/>
        <v>191.28963271259579</v>
      </c>
      <c r="BO116" s="2">
        <f t="shared" si="216"/>
        <v>320.48245808229723</v>
      </c>
      <c r="BP116" s="2">
        <f t="shared" si="217"/>
        <v>9.8040076592744185</v>
      </c>
      <c r="BQ116" s="2">
        <f t="shared" si="218"/>
        <v>204.0351980967034</v>
      </c>
      <c r="BR116" s="2">
        <f t="shared" si="219"/>
        <v>337.10689585546612</v>
      </c>
      <c r="BS116" s="2">
        <f t="shared" si="220"/>
        <v>10.127781816785443</v>
      </c>
      <c r="BT116" s="18">
        <f t="shared" si="221"/>
        <v>0.77854361585813836</v>
      </c>
      <c r="BU116" s="18">
        <f t="shared" si="222"/>
        <v>0.76432098887604749</v>
      </c>
      <c r="BV116" s="18">
        <f t="shared" si="223"/>
        <v>0.6144500467566173</v>
      </c>
      <c r="BW116" s="18">
        <f t="shared" si="224"/>
        <v>0.61150973538186293</v>
      </c>
      <c r="BX116" s="34">
        <f t="shared" si="225"/>
        <v>14.005385996409332</v>
      </c>
      <c r="BY116" s="34">
        <f t="shared" si="225"/>
        <v>13.832684135977335</v>
      </c>
      <c r="BZ116" s="34">
        <f t="shared" si="226"/>
        <v>10.142180341253621</v>
      </c>
      <c r="CA116" s="34">
        <f t="shared" si="227"/>
        <v>9.9617605693964713</v>
      </c>
    </row>
    <row r="117" spans="1:79" x14ac:dyDescent="0.35">
      <c r="A117" t="s">
        <v>236</v>
      </c>
      <c r="C117" s="2">
        <f t="shared" si="199"/>
        <v>2377739.0800000005</v>
      </c>
      <c r="D117" s="2">
        <f t="shared" si="199"/>
        <v>1170.8400000000001</v>
      </c>
      <c r="E117" s="2">
        <f t="shared" si="199"/>
        <v>137745.70000000001</v>
      </c>
      <c r="F117" s="2">
        <f t="shared" si="199"/>
        <v>17394345.189999998</v>
      </c>
      <c r="G117" s="2">
        <f t="shared" si="199"/>
        <v>3978578.4800000004</v>
      </c>
      <c r="H117" s="2">
        <f t="shared" si="199"/>
        <v>49847.02</v>
      </c>
      <c r="I117" s="2">
        <f t="shared" si="199"/>
        <v>77919651.209999993</v>
      </c>
      <c r="J117" s="2">
        <f t="shared" si="199"/>
        <v>5339949.7846799996</v>
      </c>
      <c r="K117" s="2">
        <f t="shared" si="199"/>
        <v>5635809.9500000002</v>
      </c>
      <c r="L117" s="2">
        <f t="shared" si="199"/>
        <v>99350137.789999992</v>
      </c>
      <c r="M117" s="2">
        <f t="shared" si="200"/>
        <v>2897951.51</v>
      </c>
      <c r="N117" s="2">
        <f t="shared" si="200"/>
        <v>5731.0199999999995</v>
      </c>
      <c r="O117" s="2">
        <f t="shared" si="200"/>
        <v>126506.43999999999</v>
      </c>
      <c r="P117" s="2">
        <f t="shared" si="200"/>
        <v>20097412.460000005</v>
      </c>
      <c r="Q117" s="2">
        <f t="shared" si="200"/>
        <v>4213032.540000001</v>
      </c>
      <c r="R117" s="2">
        <f t="shared" si="200"/>
        <v>51186.409999999996</v>
      </c>
      <c r="S117" s="2">
        <f t="shared" si="200"/>
        <v>80160176.649999991</v>
      </c>
      <c r="T117" s="2">
        <f t="shared" si="200"/>
        <v>5350086.3656400014</v>
      </c>
      <c r="U117" s="2">
        <f t="shared" si="200"/>
        <v>6602912.5099999988</v>
      </c>
      <c r="V117" s="2">
        <f t="shared" si="200"/>
        <v>105551151.60999998</v>
      </c>
      <c r="W117" s="2">
        <f t="shared" si="201"/>
        <v>59825203</v>
      </c>
      <c r="X117" s="2">
        <f t="shared" si="201"/>
        <v>2044934.5999999999</v>
      </c>
      <c r="Y117" s="2">
        <f t="shared" si="201"/>
        <v>2153246.7599999998</v>
      </c>
      <c r="Z117" s="2">
        <f t="shared" si="201"/>
        <v>64023384.360000007</v>
      </c>
      <c r="AA117" s="2">
        <f t="shared" si="201"/>
        <v>60541587</v>
      </c>
      <c r="AB117" s="2">
        <f t="shared" si="201"/>
        <v>2218824.63</v>
      </c>
      <c r="AC117" s="2">
        <f t="shared" si="201"/>
        <v>4006727.5799999996</v>
      </c>
      <c r="AD117" s="2">
        <f t="shared" si="201"/>
        <v>66767139.210000001</v>
      </c>
      <c r="AE117" s="2">
        <f t="shared" si="201"/>
        <v>14220</v>
      </c>
      <c r="AF117" s="2">
        <f t="shared" si="201"/>
        <v>14126</v>
      </c>
      <c r="AG117" s="2">
        <f t="shared" si="202"/>
        <v>14080</v>
      </c>
      <c r="AH117" s="2">
        <f t="shared" si="202"/>
        <v>14188.666666666666</v>
      </c>
      <c r="AI117" s="2">
        <f t="shared" si="202"/>
        <v>14110.666666666666</v>
      </c>
      <c r="AJ117" s="2">
        <f t="shared" si="202"/>
        <v>1204</v>
      </c>
      <c r="AK117" s="2">
        <f t="shared" si="202"/>
        <v>1202</v>
      </c>
      <c r="AL117" s="2">
        <f t="shared" si="202"/>
        <v>1191</v>
      </c>
      <c r="AM117" s="2">
        <f t="shared" si="202"/>
        <v>1203.3333333333333</v>
      </c>
      <c r="AN117" s="2">
        <f t="shared" si="202"/>
        <v>1198.3333333333335</v>
      </c>
      <c r="AO117" s="2">
        <f t="shared" si="202"/>
        <v>1564.3899999999999</v>
      </c>
      <c r="AP117" s="2">
        <f t="shared" si="202"/>
        <v>1549.0500000000002</v>
      </c>
      <c r="AQ117" s="2">
        <f t="shared" si="202"/>
        <v>38671964.169999994</v>
      </c>
      <c r="AR117" s="2">
        <f t="shared" si="202"/>
        <v>39217684.120000012</v>
      </c>
      <c r="AS117" s="2">
        <f t="shared" ref="AS117:AS118" si="228">AQ117/AO117/12</f>
        <v>2060.0129640520158</v>
      </c>
      <c r="AT117" s="2">
        <f t="shared" ref="AT117:AT118" si="229">AR117/AP117/12</f>
        <v>2109.7707261439814</v>
      </c>
      <c r="AU117" s="2">
        <f t="shared" si="205"/>
        <v>1643.9999999999998</v>
      </c>
      <c r="AV117" s="2">
        <f t="shared" si="205"/>
        <v>1353</v>
      </c>
      <c r="AY117" s="2">
        <f t="shared" si="206"/>
        <v>1732767.958785228</v>
      </c>
      <c r="AZ117" s="2">
        <f t="shared" si="206"/>
        <v>626117.67383081373</v>
      </c>
      <c r="BF117" s="2">
        <f t="shared" si="207"/>
        <v>573.32947558623539</v>
      </c>
      <c r="BG117" s="2">
        <f t="shared" si="208"/>
        <v>457.64020115820136</v>
      </c>
      <c r="BH117" s="2">
        <f t="shared" si="209"/>
        <v>33.393183350561479</v>
      </c>
      <c r="BI117" s="2">
        <f t="shared" si="210"/>
        <v>82.296091077472539</v>
      </c>
      <c r="BJ117" s="2">
        <f t="shared" si="211"/>
        <v>619.65554389214537</v>
      </c>
      <c r="BK117" s="2">
        <f t="shared" si="212"/>
        <v>473.40178027260703</v>
      </c>
      <c r="BL117" s="2">
        <f t="shared" si="213"/>
        <v>39.297097467636767</v>
      </c>
      <c r="BM117" s="2">
        <f t="shared" si="214"/>
        <v>106.95666615190157</v>
      </c>
      <c r="BN117" s="2">
        <f t="shared" si="215"/>
        <v>197.30527575538437</v>
      </c>
      <c r="BO117" s="2">
        <f t="shared" si="216"/>
        <v>364.01382417892211</v>
      </c>
      <c r="BP117" s="2">
        <f t="shared" si="217"/>
        <v>12.010375651928882</v>
      </c>
      <c r="BQ117" s="2">
        <f t="shared" si="218"/>
        <v>225.34899559534855</v>
      </c>
      <c r="BR117" s="2">
        <f t="shared" si="219"/>
        <v>381.20284052253618</v>
      </c>
      <c r="BS117" s="2">
        <f t="shared" si="220"/>
        <v>13.103707774260613</v>
      </c>
      <c r="BT117" s="18">
        <f t="shared" si="221"/>
        <v>0.79821502407539657</v>
      </c>
      <c r="BU117" s="18">
        <f t="shared" si="222"/>
        <v>0.76397570382264723</v>
      </c>
      <c r="BV117" s="18">
        <f t="shared" si="223"/>
        <v>0.63491210495799855</v>
      </c>
      <c r="BW117" s="18">
        <f t="shared" si="224"/>
        <v>0.61518507222278118</v>
      </c>
      <c r="BX117" s="34">
        <f t="shared" si="225"/>
        <v>11.791135734072022</v>
      </c>
      <c r="BY117" s="34">
        <f t="shared" si="225"/>
        <v>11.775243393602222</v>
      </c>
      <c r="BZ117" s="34">
        <f t="shared" si="226"/>
        <v>9.0697758657794196</v>
      </c>
      <c r="CA117" s="34">
        <f t="shared" si="227"/>
        <v>9.1092389959437483</v>
      </c>
    </row>
    <row r="118" spans="1:79" x14ac:dyDescent="0.35">
      <c r="A118" t="s">
        <v>288</v>
      </c>
      <c r="C118" s="2">
        <f t="shared" si="199"/>
        <v>16368.25</v>
      </c>
      <c r="D118" s="2">
        <f t="shared" si="199"/>
        <v>0</v>
      </c>
      <c r="E118" s="2">
        <f t="shared" si="199"/>
        <v>7244</v>
      </c>
      <c r="F118" s="2">
        <f t="shared" si="199"/>
        <v>135953.51999999999</v>
      </c>
      <c r="G118" s="2">
        <f t="shared" si="199"/>
        <v>26809.5</v>
      </c>
      <c r="H118" s="2">
        <f t="shared" si="199"/>
        <v>0</v>
      </c>
      <c r="I118" s="2">
        <f t="shared" si="199"/>
        <v>723922.06</v>
      </c>
      <c r="J118" s="2">
        <f t="shared" si="199"/>
        <v>78794.458740000002</v>
      </c>
      <c r="K118" s="2">
        <f t="shared" si="199"/>
        <v>98486.590000000011</v>
      </c>
      <c r="L118" s="2">
        <f t="shared" si="199"/>
        <v>947920.92</v>
      </c>
      <c r="M118" s="2">
        <f t="shared" si="200"/>
        <v>23964.86</v>
      </c>
      <c r="N118" s="2">
        <f t="shared" si="200"/>
        <v>0</v>
      </c>
      <c r="O118" s="2">
        <f t="shared" si="200"/>
        <v>7530</v>
      </c>
      <c r="P118" s="2">
        <f t="shared" si="200"/>
        <v>186789.96</v>
      </c>
      <c r="Q118" s="2">
        <f t="shared" si="200"/>
        <v>29137</v>
      </c>
      <c r="R118" s="2">
        <f t="shared" si="200"/>
        <v>0</v>
      </c>
      <c r="S118" s="2">
        <f t="shared" si="200"/>
        <v>754443.17999999993</v>
      </c>
      <c r="T118" s="2">
        <f t="shared" si="200"/>
        <v>91978.214280000015</v>
      </c>
      <c r="U118" s="2">
        <f t="shared" si="200"/>
        <v>98932.34</v>
      </c>
      <c r="V118" s="2">
        <f t="shared" si="200"/>
        <v>1034993.3399999999</v>
      </c>
      <c r="W118" s="2">
        <f t="shared" si="201"/>
        <v>642547</v>
      </c>
      <c r="X118" s="2">
        <f t="shared" si="201"/>
        <v>5564</v>
      </c>
      <c r="Y118" s="2">
        <f t="shared" si="201"/>
        <v>17052.7</v>
      </c>
      <c r="Z118" s="2">
        <f t="shared" si="201"/>
        <v>665163.69999999995</v>
      </c>
      <c r="AA118" s="2">
        <f t="shared" si="201"/>
        <v>641136</v>
      </c>
      <c r="AB118" s="2">
        <f t="shared" si="201"/>
        <v>3366</v>
      </c>
      <c r="AC118" s="2">
        <f t="shared" si="201"/>
        <v>43838.59</v>
      </c>
      <c r="AD118" s="2">
        <f t="shared" si="201"/>
        <v>688340.59000000008</v>
      </c>
      <c r="AE118" s="2">
        <f t="shared" si="201"/>
        <v>64</v>
      </c>
      <c r="AF118" s="2">
        <f t="shared" si="201"/>
        <v>58</v>
      </c>
      <c r="AG118" s="2">
        <f t="shared" si="202"/>
        <v>55</v>
      </c>
      <c r="AH118" s="2">
        <f t="shared" si="202"/>
        <v>62</v>
      </c>
      <c r="AI118" s="2">
        <f t="shared" si="202"/>
        <v>57</v>
      </c>
      <c r="AJ118" s="2">
        <f t="shared" si="202"/>
        <v>14</v>
      </c>
      <c r="AK118" s="2">
        <f t="shared" si="202"/>
        <v>19</v>
      </c>
      <c r="AL118" s="2">
        <f t="shared" si="202"/>
        <v>16</v>
      </c>
      <c r="AM118" s="2">
        <f t="shared" si="202"/>
        <v>15.666666666666666</v>
      </c>
      <c r="AN118" s="2">
        <f t="shared" si="202"/>
        <v>18</v>
      </c>
      <c r="AO118" s="2">
        <f t="shared" si="202"/>
        <v>18.05</v>
      </c>
      <c r="AP118" s="2">
        <f t="shared" si="202"/>
        <v>17.53</v>
      </c>
      <c r="AQ118" s="2">
        <f t="shared" si="202"/>
        <v>423196.52999999997</v>
      </c>
      <c r="AR118" s="2">
        <f t="shared" si="202"/>
        <v>429278.77</v>
      </c>
      <c r="AS118" s="2">
        <f t="shared" si="228"/>
        <v>1953.8159279778392</v>
      </c>
      <c r="AT118" s="2">
        <f t="shared" si="229"/>
        <v>2040.6862996767447</v>
      </c>
      <c r="AU118" s="2">
        <f t="shared" si="205"/>
        <v>21.666666666666668</v>
      </c>
      <c r="AV118" s="2">
        <f t="shared" si="205"/>
        <v>20</v>
      </c>
      <c r="AY118" s="2">
        <f t="shared" si="206"/>
        <v>6856.8832888888892</v>
      </c>
      <c r="AZ118" s="2">
        <f t="shared" si="206"/>
        <v>8242.2148997260265</v>
      </c>
      <c r="BF118" s="2">
        <f t="shared" si="207"/>
        <v>1264.8710170848269</v>
      </c>
      <c r="BG118" s="2">
        <f t="shared" si="208"/>
        <v>973.01352150537639</v>
      </c>
      <c r="BH118" s="2">
        <f t="shared" si="209"/>
        <v>132.37444892473118</v>
      </c>
      <c r="BI118" s="2">
        <f t="shared" si="210"/>
        <v>159.48304665471935</v>
      </c>
      <c r="BJ118" s="2">
        <f t="shared" si="211"/>
        <v>1501.0981361115116</v>
      </c>
      <c r="BK118" s="2">
        <f t="shared" si="212"/>
        <v>1102.9871052631577</v>
      </c>
      <c r="BL118" s="2">
        <f t="shared" si="213"/>
        <v>144.63792397660816</v>
      </c>
      <c r="BM118" s="2">
        <f t="shared" si="214"/>
        <v>253.47310687174578</v>
      </c>
      <c r="BN118" s="2">
        <f t="shared" si="215"/>
        <v>370.83378590203125</v>
      </c>
      <c r="BO118" s="2">
        <f t="shared" si="216"/>
        <v>886.55873655913967</v>
      </c>
      <c r="BP118" s="2">
        <f t="shared" si="217"/>
        <v>7.4784946236560472</v>
      </c>
      <c r="BQ118" s="2">
        <f t="shared" si="218"/>
        <v>494.75224429864585</v>
      </c>
      <c r="BR118" s="2">
        <f t="shared" si="219"/>
        <v>1001.4248391812865</v>
      </c>
      <c r="BS118" s="2">
        <f t="shared" si="220"/>
        <v>4.9210526315793004</v>
      </c>
      <c r="BT118" s="18">
        <f t="shared" si="221"/>
        <v>0.76925908520530395</v>
      </c>
      <c r="BU118" s="18">
        <f t="shared" si="222"/>
        <v>0.73478680622465342</v>
      </c>
      <c r="BV118" s="18">
        <f t="shared" si="223"/>
        <v>0.70090841246596758</v>
      </c>
      <c r="BW118" s="18">
        <f t="shared" si="224"/>
        <v>0.667128161104381</v>
      </c>
      <c r="BX118" s="34">
        <f t="shared" si="225"/>
        <v>3.9574468085106385</v>
      </c>
      <c r="BY118" s="34">
        <f t="shared" si="225"/>
        <v>3.1666666666666665</v>
      </c>
      <c r="BZ118" s="34">
        <f t="shared" si="226"/>
        <v>3.4349030470914128</v>
      </c>
      <c r="CA118" s="34">
        <f t="shared" si="227"/>
        <v>3.2515687393040498</v>
      </c>
    </row>
    <row r="119" spans="1:79" x14ac:dyDescent="0.35">
      <c r="C119" s="2"/>
    </row>
  </sheetData>
  <mergeCells count="36">
    <mergeCell ref="BA2:BA3"/>
    <mergeCell ref="BB2:BB3"/>
    <mergeCell ref="BC2:BC3"/>
    <mergeCell ref="CB1:CG1"/>
    <mergeCell ref="AO1:AP2"/>
    <mergeCell ref="AQ1:AR2"/>
    <mergeCell ref="BZ1:CA2"/>
    <mergeCell ref="BV1:BW2"/>
    <mergeCell ref="BN1:BS1"/>
    <mergeCell ref="BN2:BP2"/>
    <mergeCell ref="BQ2:BS2"/>
    <mergeCell ref="AU1:AV2"/>
    <mergeCell ref="AW1:AX2"/>
    <mergeCell ref="AY1:AZ2"/>
    <mergeCell ref="BX1:BY2"/>
    <mergeCell ref="BF1:BM1"/>
    <mergeCell ref="BF2:BI2"/>
    <mergeCell ref="BJ2:BM2"/>
    <mergeCell ref="BT1:BU2"/>
    <mergeCell ref="BA1:BE1"/>
    <mergeCell ref="A1:A3"/>
    <mergeCell ref="BD2:BD3"/>
    <mergeCell ref="BE2:BE3"/>
    <mergeCell ref="C2:L2"/>
    <mergeCell ref="M2:V2"/>
    <mergeCell ref="C1:V1"/>
    <mergeCell ref="AE1:AI1"/>
    <mergeCell ref="AE2:AG2"/>
    <mergeCell ref="AH2:AI2"/>
    <mergeCell ref="W2:Z2"/>
    <mergeCell ref="W1:AD1"/>
    <mergeCell ref="AA2:AD2"/>
    <mergeCell ref="AJ1:AN1"/>
    <mergeCell ref="AJ2:AL2"/>
    <mergeCell ref="AM2:AN2"/>
    <mergeCell ref="AS1:AT2"/>
  </mergeCells>
  <conditionalFormatting sqref="BF4:BF82">
    <cfRule type="colorScale" priority="4">
      <colorScale>
        <cfvo type="min"/>
        <cfvo type="percentile" val="50"/>
        <cfvo type="max"/>
        <color rgb="FF63BE7B"/>
        <color rgb="FFFFEB84"/>
        <color rgb="FFF8696B"/>
      </colorScale>
    </cfRule>
  </conditionalFormatting>
  <conditionalFormatting sqref="BJ4:BJ82">
    <cfRule type="colorScale" priority="3">
      <colorScale>
        <cfvo type="min"/>
        <cfvo type="percentile" val="50"/>
        <cfvo type="max"/>
        <color rgb="FF63BE7B"/>
        <color rgb="FFFFEB84"/>
        <color rgb="FFF8696B"/>
      </colorScale>
    </cfRule>
  </conditionalFormatting>
  <conditionalFormatting sqref="BN4:BN82">
    <cfRule type="colorScale" priority="2">
      <colorScale>
        <cfvo type="min"/>
        <cfvo type="percentile" val="50"/>
        <cfvo type="max"/>
        <color rgb="FF63BE7B"/>
        <color rgb="FFFFEB84"/>
        <color rgb="FFF8696B"/>
      </colorScale>
    </cfRule>
  </conditionalFormatting>
  <conditionalFormatting sqref="BQ4:BQ82">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36EBB-4C2A-4DC6-9BF4-CCD51E648F6D}">
  <dimension ref="A1"/>
  <sheetViews>
    <sheetView tabSelected="1" workbookViewId="0">
      <selection activeCell="Y87" sqref="Y87"/>
    </sheetView>
  </sheetViews>
  <sheetFormatPr defaultRowHeight="14.5" x14ac:dyDescent="0.3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Alusharidus</vt:lpstr>
      <vt:lpstr>Lasteaed graafikud</vt:lpstr>
      <vt:lpstr>Kool</vt:lpstr>
      <vt:lpstr>Kool graafikud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Andrus Jõgi</dc:creator>
  <cp:lastModifiedBy>Andrus Jõgi</cp:lastModifiedBy>
  <dcterms:created xsi:type="dcterms:W3CDTF">2026-03-18T06:11:45Z</dcterms:created>
  <dcterms:modified xsi:type="dcterms:W3CDTF">2026-06-16T11:53:29Z</dcterms:modified>
</cp:coreProperties>
</file>